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mbroker-my.sharepoint.com/personal/moravcik_trimbroker_eu/Documents/LYNX/WEB/"/>
    </mc:Choice>
  </mc:AlternateContent>
  <xr:revisionPtr revIDLastSave="0" documentId="8_{38C33D73-CCFF-4B93-89BD-88D5BA9DC80D}" xr6:coauthVersionLast="45" xr6:coauthVersionMax="45" xr10:uidLastSave="{00000000-0000-0000-0000-000000000000}"/>
  <bookViews>
    <workbookView xWindow="-110" yWindow="-110" windowWidth="19420" windowHeight="10420" xr2:uid="{3A1B9901-C656-4A33-8280-C12F4F406FAD}"/>
  </bookViews>
  <sheets>
    <sheet name="Info" sheetId="1" r:id="rId1"/>
    <sheet name="1.KROK - vstupné údaje" sheetId="2" r:id="rId2"/>
    <sheet name="2.KROK - rebalansacia" sheetId="3" r:id="rId3"/>
    <sheet name="#akcie" sheetId="4" r:id="rId4"/>
    <sheet name="#dlhopisy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5" i="3" l="1"/>
  <c r="AA15" i="3" s="1"/>
  <c r="D16" i="3"/>
  <c r="X16" i="3"/>
  <c r="AA16" i="3"/>
  <c r="D17" i="3"/>
  <c r="X17" i="3"/>
  <c r="AA17" i="3" s="1"/>
  <c r="X18" i="3"/>
  <c r="AA18" i="3" s="1"/>
  <c r="C19" i="3"/>
  <c r="D19" i="3" s="1"/>
  <c r="X19" i="3"/>
  <c r="AA19" i="3" s="1"/>
  <c r="X20" i="3"/>
  <c r="AA20" i="3" s="1"/>
  <c r="X21" i="3"/>
  <c r="AA21" i="3" s="1"/>
  <c r="X23" i="3"/>
  <c r="AA23" i="3" s="1"/>
  <c r="X24" i="3"/>
  <c r="AA24" i="3" s="1"/>
  <c r="X25" i="3"/>
  <c r="AA25" i="3" s="1"/>
  <c r="X26" i="3"/>
  <c r="AA26" i="3" s="1"/>
  <c r="X31" i="3"/>
  <c r="AA31" i="3" s="1"/>
  <c r="X32" i="3"/>
  <c r="AA32" i="3" s="1"/>
  <c r="B33" i="3"/>
  <c r="C33" i="3"/>
  <c r="D33" i="3"/>
  <c r="E33" i="3"/>
  <c r="X33" i="3"/>
  <c r="AA33" i="3" s="1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6" i="3"/>
  <c r="C36" i="3"/>
  <c r="D36" i="3"/>
  <c r="E36" i="3"/>
  <c r="F36" i="3"/>
  <c r="G36" i="3"/>
  <c r="H36" i="3"/>
  <c r="B37" i="3"/>
  <c r="C37" i="3"/>
  <c r="D37" i="3"/>
  <c r="A37" i="3" s="1"/>
  <c r="E37" i="3"/>
  <c r="F37" i="3"/>
  <c r="G37" i="3"/>
  <c r="H37" i="3"/>
  <c r="B38" i="3"/>
  <c r="C38" i="3"/>
  <c r="D38" i="3"/>
  <c r="A38" i="3" s="1"/>
  <c r="E38" i="3"/>
  <c r="F38" i="3"/>
  <c r="G38" i="3"/>
  <c r="H38" i="3"/>
  <c r="B39" i="3"/>
  <c r="C39" i="3"/>
  <c r="D39" i="3"/>
  <c r="A39" i="3" s="1"/>
  <c r="E39" i="3"/>
  <c r="F39" i="3"/>
  <c r="G39" i="3"/>
  <c r="H39" i="3"/>
  <c r="B40" i="3"/>
  <c r="C40" i="3"/>
  <c r="D40" i="3"/>
  <c r="A40" i="3" s="1"/>
  <c r="E40" i="3"/>
  <c r="F40" i="3"/>
  <c r="G40" i="3"/>
  <c r="H40" i="3"/>
  <c r="B41" i="3"/>
  <c r="C41" i="3"/>
  <c r="D41" i="3"/>
  <c r="A41" i="3" s="1"/>
  <c r="E41" i="3"/>
  <c r="F41" i="3"/>
  <c r="G41" i="3"/>
  <c r="H41" i="3"/>
  <c r="CA14" i="2"/>
  <c r="CA15" i="2"/>
  <c r="CA16" i="2"/>
  <c r="BZ17" i="2"/>
  <c r="CA17" i="2" s="1"/>
  <c r="F21" i="2"/>
  <c r="G21" i="2" s="1"/>
  <c r="G33" i="3" s="1"/>
  <c r="H21" i="2"/>
  <c r="H33" i="3" s="1"/>
  <c r="F22" i="2"/>
  <c r="G22" i="2" s="1"/>
  <c r="H22" i="2"/>
  <c r="F23" i="2"/>
  <c r="G23" i="2" s="1"/>
  <c r="H23" i="2"/>
  <c r="F24" i="2"/>
  <c r="G24" i="2"/>
  <c r="H24" i="2"/>
  <c r="F33" i="3" l="1"/>
  <c r="C17" i="3"/>
  <c r="E17" i="3" s="1"/>
  <c r="C16" i="3"/>
  <c r="E16" i="3" s="1"/>
  <c r="D15" i="3"/>
  <c r="A32" i="3"/>
  <c r="A31" i="3"/>
  <c r="A33" i="3" s="1"/>
  <c r="BZ18" i="2"/>
  <c r="C15" i="3" l="1"/>
  <c r="E15" i="3" s="1"/>
  <c r="A35" i="3"/>
  <c r="A34" i="3"/>
  <c r="D10" i="5"/>
  <c r="D12" i="5"/>
  <c r="D18" i="5"/>
  <c r="D8" i="4"/>
  <c r="D13" i="4"/>
  <c r="D16" i="4"/>
  <c r="E7" i="5"/>
  <c r="G7" i="5" s="1"/>
  <c r="D9" i="5"/>
  <c r="E15" i="5"/>
  <c r="G15" i="5" s="1"/>
  <c r="D17" i="5"/>
  <c r="E8" i="4"/>
  <c r="G8" i="4" s="1"/>
  <c r="E10" i="4"/>
  <c r="G10" i="4" s="1"/>
  <c r="E16" i="4"/>
  <c r="G16" i="4" s="1"/>
  <c r="E18" i="4"/>
  <c r="G18" i="4" s="1"/>
  <c r="E9" i="5"/>
  <c r="G9" i="5" s="1"/>
  <c r="D11" i="5"/>
  <c r="E17" i="5"/>
  <c r="G17" i="5" s="1"/>
  <c r="E7" i="4"/>
  <c r="G7" i="4" s="1"/>
  <c r="D14" i="4"/>
  <c r="E15" i="4"/>
  <c r="G15" i="4" s="1"/>
  <c r="E8" i="5"/>
  <c r="G8" i="5" s="1"/>
  <c r="E11" i="5"/>
  <c r="G11" i="5" s="1"/>
  <c r="E16" i="5"/>
  <c r="G16" i="5" s="1"/>
  <c r="E9" i="4"/>
  <c r="G9" i="4" s="1"/>
  <c r="E14" i="4"/>
  <c r="G14" i="4" s="1"/>
  <c r="E17" i="4"/>
  <c r="G17" i="4" s="1"/>
  <c r="A36" i="3"/>
  <c r="D18" i="3"/>
  <c r="CA18" i="2"/>
  <c r="BZ19" i="2"/>
  <c r="E13" i="5" l="1"/>
  <c r="G13" i="5" s="1"/>
  <c r="D20" i="3"/>
  <c r="C20" i="3"/>
  <c r="C28" i="3" s="1"/>
  <c r="C18" i="3"/>
  <c r="T14" i="3" s="1"/>
  <c r="W15" i="3" s="1"/>
  <c r="U15" i="3" s="1"/>
  <c r="E12" i="4"/>
  <c r="G12" i="4" s="1"/>
  <c r="E14" i="5"/>
  <c r="G14" i="5" s="1"/>
  <c r="E6" i="5"/>
  <c r="G6" i="5" s="1"/>
  <c r="D12" i="4"/>
  <c r="D16" i="5"/>
  <c r="D8" i="5"/>
  <c r="D15" i="4"/>
  <c r="D7" i="4"/>
  <c r="E12" i="5"/>
  <c r="G12" i="5" s="1"/>
  <c r="E19" i="4"/>
  <c r="G19" i="4" s="1"/>
  <c r="E11" i="4"/>
  <c r="G11" i="4" s="1"/>
  <c r="D15" i="5"/>
  <c r="D7" i="5"/>
  <c r="D19" i="4"/>
  <c r="D11" i="4"/>
  <c r="D13" i="5"/>
  <c r="D17" i="4"/>
  <c r="D9" i="4"/>
  <c r="D14" i="5"/>
  <c r="D6" i="5"/>
  <c r="E13" i="4"/>
  <c r="G13" i="4" s="1"/>
  <c r="E18" i="5"/>
  <c r="G18" i="5" s="1"/>
  <c r="E10" i="5"/>
  <c r="G10" i="5" s="1"/>
  <c r="D18" i="4"/>
  <c r="D10" i="4"/>
  <c r="T15" i="3"/>
  <c r="Y15" i="3" s="1"/>
  <c r="Z15" i="3" s="1"/>
  <c r="C1" i="5"/>
  <c r="B2" i="5" s="1"/>
  <c r="B1" i="5" s="1"/>
  <c r="CA19" i="2"/>
  <c r="BZ20" i="2"/>
  <c r="D22" i="3" l="1"/>
  <c r="D28" i="3"/>
  <c r="I34" i="3"/>
  <c r="I35" i="3"/>
  <c r="I33" i="3"/>
  <c r="C1" i="4"/>
  <c r="B2" i="4" s="1"/>
  <c r="B1" i="4" s="1"/>
  <c r="F13" i="4" s="1"/>
  <c r="F14" i="5"/>
  <c r="H14" i="5" s="1"/>
  <c r="I14" i="5" s="1"/>
  <c r="J14" i="5" s="1"/>
  <c r="E20" i="3"/>
  <c r="C22" i="3"/>
  <c r="W16" i="3"/>
  <c r="U16" i="3" s="1"/>
  <c r="F18" i="5"/>
  <c r="H18" i="5" s="1"/>
  <c r="K18" i="5" s="1"/>
  <c r="F6" i="5"/>
  <c r="H6" i="5" s="1"/>
  <c r="F17" i="5"/>
  <c r="H17" i="5" s="1"/>
  <c r="F12" i="5"/>
  <c r="H12" i="5" s="1"/>
  <c r="I12" i="5" s="1"/>
  <c r="J12" i="5" s="1"/>
  <c r="F11" i="5"/>
  <c r="Y16" i="3"/>
  <c r="F7" i="5"/>
  <c r="H7" i="5" s="1"/>
  <c r="F8" i="5"/>
  <c r="H8" i="5" s="1"/>
  <c r="F13" i="5"/>
  <c r="F15" i="5"/>
  <c r="F16" i="5"/>
  <c r="H16" i="5" s="1"/>
  <c r="F10" i="5"/>
  <c r="F9" i="5"/>
  <c r="CA20" i="2"/>
  <c r="BZ21" i="2"/>
  <c r="I38" i="3" l="1"/>
  <c r="I41" i="3"/>
  <c r="I39" i="3"/>
  <c r="I37" i="3"/>
  <c r="I36" i="3"/>
  <c r="I40" i="3"/>
  <c r="F15" i="4"/>
  <c r="H15" i="4" s="1"/>
  <c r="I15" i="4" s="1"/>
  <c r="J15" i="4" s="1"/>
  <c r="F14" i="4"/>
  <c r="H14" i="4" s="1"/>
  <c r="F19" i="4"/>
  <c r="H19" i="4" s="1"/>
  <c r="I19" i="4" s="1"/>
  <c r="F18" i="4"/>
  <c r="H18" i="4" s="1"/>
  <c r="I18" i="4" s="1"/>
  <c r="J18" i="4" s="1"/>
  <c r="F16" i="4"/>
  <c r="H16" i="4" s="1"/>
  <c r="I16" i="4" s="1"/>
  <c r="J16" i="4" s="1"/>
  <c r="K4" i="4" s="1"/>
  <c r="F9" i="4"/>
  <c r="H9" i="4" s="1"/>
  <c r="I9" i="4" s="1"/>
  <c r="J9" i="4" s="1"/>
  <c r="K9" i="4" s="1"/>
  <c r="N9" i="4" s="1"/>
  <c r="F7" i="4"/>
  <c r="H7" i="4" s="1"/>
  <c r="I7" i="4" s="1"/>
  <c r="J7" i="4" s="1"/>
  <c r="F8" i="4"/>
  <c r="H8" i="4" s="1"/>
  <c r="I8" i="4" s="1"/>
  <c r="J8" i="4" s="1"/>
  <c r="F10" i="4"/>
  <c r="H10" i="4" s="1"/>
  <c r="F11" i="4"/>
  <c r="H11" i="4" s="1"/>
  <c r="I11" i="4" s="1"/>
  <c r="J11" i="4" s="1"/>
  <c r="F17" i="4"/>
  <c r="H17" i="4" s="1"/>
  <c r="I17" i="4" s="1"/>
  <c r="J17" i="4" s="1"/>
  <c r="F12" i="4"/>
  <c r="H12" i="4" s="1"/>
  <c r="W17" i="3"/>
  <c r="U17" i="3" s="1"/>
  <c r="H13" i="4"/>
  <c r="I13" i="4" s="1"/>
  <c r="J13" i="4" s="1"/>
  <c r="K13" i="4" s="1"/>
  <c r="N13" i="4" s="1"/>
  <c r="K12" i="5"/>
  <c r="L12" i="5" s="1"/>
  <c r="L18" i="5"/>
  <c r="M18" i="5" s="1"/>
  <c r="N18" i="5"/>
  <c r="I8" i="5"/>
  <c r="J8" i="5" s="1"/>
  <c r="K8" i="5" s="1"/>
  <c r="K14" i="5"/>
  <c r="Z16" i="3"/>
  <c r="Y17" i="3"/>
  <c r="H9" i="5"/>
  <c r="I9" i="5" s="1"/>
  <c r="J9" i="5" s="1"/>
  <c r="I16" i="5"/>
  <c r="J16" i="5" s="1"/>
  <c r="K16" i="5" s="1"/>
  <c r="H13" i="5"/>
  <c r="I13" i="5" s="1"/>
  <c r="J13" i="5" s="1"/>
  <c r="I7" i="5"/>
  <c r="J7" i="5" s="1"/>
  <c r="K7" i="5" s="1"/>
  <c r="I6" i="5"/>
  <c r="J6" i="5" s="1"/>
  <c r="K6" i="5" s="1"/>
  <c r="H10" i="5"/>
  <c r="I10" i="5" s="1"/>
  <c r="J10" i="5" s="1"/>
  <c r="K10" i="5" s="1"/>
  <c r="H15" i="5"/>
  <c r="I15" i="5" s="1"/>
  <c r="J15" i="5" s="1"/>
  <c r="K3" i="5" s="1"/>
  <c r="I17" i="5"/>
  <c r="J17" i="5" s="1"/>
  <c r="K17" i="5" s="1"/>
  <c r="L17" i="5" s="1"/>
  <c r="I18" i="5"/>
  <c r="K7" i="4"/>
  <c r="H11" i="5"/>
  <c r="I11" i="5" s="1"/>
  <c r="J11" i="5" s="1"/>
  <c r="K15" i="4"/>
  <c r="N15" i="4" s="1"/>
  <c r="K19" i="4"/>
  <c r="L19" i="4" s="1"/>
  <c r="CA21" i="2"/>
  <c r="BZ22" i="2"/>
  <c r="I14" i="4" l="1"/>
  <c r="J14" i="4" s="1"/>
  <c r="K14" i="4" s="1"/>
  <c r="W18" i="3"/>
  <c r="W19" i="3" s="1"/>
  <c r="K16" i="4"/>
  <c r="N16" i="4" s="1"/>
  <c r="I10" i="4"/>
  <c r="J10" i="4" s="1"/>
  <c r="K10" i="4" s="1"/>
  <c r="N10" i="4" s="1"/>
  <c r="K18" i="4"/>
  <c r="L18" i="4" s="1"/>
  <c r="K8" i="4"/>
  <c r="N8" i="4" s="1"/>
  <c r="K17" i="4"/>
  <c r="L17" i="4" s="1"/>
  <c r="K11" i="4"/>
  <c r="N11" i="4" s="1"/>
  <c r="I12" i="4"/>
  <c r="J12" i="4" s="1"/>
  <c r="K12" i="4" s="1"/>
  <c r="M12" i="5"/>
  <c r="N12" i="5"/>
  <c r="L13" i="4"/>
  <c r="M13" i="4" s="1"/>
  <c r="L9" i="4"/>
  <c r="M9" i="4" s="1"/>
  <c r="U18" i="3"/>
  <c r="N16" i="5"/>
  <c r="L16" i="5"/>
  <c r="M16" i="5" s="1"/>
  <c r="N7" i="5"/>
  <c r="L7" i="5"/>
  <c r="M7" i="5" s="1"/>
  <c r="N8" i="5"/>
  <c r="L8" i="5"/>
  <c r="M8" i="5" s="1"/>
  <c r="N6" i="5"/>
  <c r="K11" i="5"/>
  <c r="L11" i="5" s="1"/>
  <c r="N18" i="4"/>
  <c r="M18" i="4"/>
  <c r="Z17" i="3"/>
  <c r="Y18" i="3"/>
  <c r="L6" i="5"/>
  <c r="M6" i="5" s="1"/>
  <c r="N7" i="4"/>
  <c r="M17" i="5"/>
  <c r="N17" i="5"/>
  <c r="N19" i="4"/>
  <c r="M19" i="4"/>
  <c r="N10" i="5"/>
  <c r="N14" i="4"/>
  <c r="K13" i="5"/>
  <c r="N13" i="5" s="1"/>
  <c r="L15" i="4"/>
  <c r="M15" i="4" s="1"/>
  <c r="L7" i="4"/>
  <c r="M7" i="4" s="1"/>
  <c r="K15" i="5"/>
  <c r="L10" i="5"/>
  <c r="M10" i="5" s="1"/>
  <c r="L14" i="4"/>
  <c r="M14" i="4" s="1"/>
  <c r="K9" i="5"/>
  <c r="L14" i="5"/>
  <c r="M14" i="5" s="1"/>
  <c r="N14" i="5"/>
  <c r="CA22" i="2"/>
  <c r="CB23" i="2"/>
  <c r="L10" i="4" l="1"/>
  <c r="M10" i="4" s="1"/>
  <c r="N17" i="4"/>
  <c r="L16" i="4"/>
  <c r="M16" i="4" s="1"/>
  <c r="M17" i="4"/>
  <c r="L8" i="4"/>
  <c r="M8" i="4" s="1"/>
  <c r="L11" i="4"/>
  <c r="M11" i="4" s="1"/>
  <c r="L13" i="5"/>
  <c r="M13" i="5" s="1"/>
  <c r="U19" i="3"/>
  <c r="W20" i="3"/>
  <c r="N11" i="5"/>
  <c r="M11" i="5"/>
  <c r="L15" i="5"/>
  <c r="M15" i="5" s="1"/>
  <c r="N15" i="5"/>
  <c r="Z18" i="3"/>
  <c r="Y19" i="3"/>
  <c r="N12" i="4"/>
  <c r="L12" i="4"/>
  <c r="M12" i="4" s="1"/>
  <c r="L9" i="5"/>
  <c r="M9" i="5" s="1"/>
  <c r="N9" i="5"/>
  <c r="CC23" i="2"/>
  <c r="CB24" i="2"/>
  <c r="U20" i="3" l="1"/>
  <c r="W21" i="3"/>
  <c r="Z19" i="3"/>
  <c r="Y20" i="3"/>
  <c r="CC24" i="2"/>
  <c r="CB25" i="2"/>
  <c r="U21" i="3" l="1"/>
  <c r="W23" i="3"/>
  <c r="Z20" i="3"/>
  <c r="Y21" i="3"/>
  <c r="CC25" i="2"/>
  <c r="CB26" i="2"/>
  <c r="W24" i="3" l="1"/>
  <c r="U23" i="3"/>
  <c r="Z21" i="3"/>
  <c r="Y23" i="3"/>
  <c r="CC26" i="2"/>
  <c r="CB27" i="2"/>
  <c r="U24" i="3" l="1"/>
  <c r="W25" i="3"/>
  <c r="Y24" i="3"/>
  <c r="Z23" i="3"/>
  <c r="CC27" i="2"/>
  <c r="CB28" i="2"/>
  <c r="U25" i="3" l="1"/>
  <c r="W26" i="3"/>
  <c r="D2" i="4"/>
  <c r="E2" i="4" s="1"/>
  <c r="D1" i="4" s="1"/>
  <c r="E1" i="4" s="1"/>
  <c r="Z24" i="3"/>
  <c r="Y25" i="3"/>
  <c r="CC28" i="2"/>
  <c r="CB29" i="2"/>
  <c r="U26" i="3" l="1"/>
  <c r="W31" i="3"/>
  <c r="Z25" i="3"/>
  <c r="Y26" i="3"/>
  <c r="F1" i="4"/>
  <c r="E3" i="4"/>
  <c r="CC29" i="2"/>
  <c r="CB30" i="2"/>
  <c r="U31" i="3" l="1"/>
  <c r="W32" i="3"/>
  <c r="G1" i="4"/>
  <c r="H1" i="4" s="1"/>
  <c r="Z26" i="3"/>
  <c r="Y31" i="3"/>
  <c r="CC30" i="2"/>
  <c r="CB31" i="2"/>
  <c r="U32" i="3" l="1"/>
  <c r="W33" i="3"/>
  <c r="U33" i="3" s="1"/>
  <c r="Z31" i="3"/>
  <c r="Y32" i="3"/>
  <c r="CC31" i="2"/>
  <c r="CB32" i="2"/>
  <c r="Z32" i="3" l="1"/>
  <c r="Y33" i="3"/>
  <c r="Z33" i="3" s="1"/>
  <c r="D2" i="5" s="1"/>
  <c r="E2" i="5" s="1"/>
  <c r="D1" i="5" s="1"/>
  <c r="E1" i="5" s="1"/>
  <c r="F1" i="5" s="1"/>
  <c r="G1" i="5" s="1"/>
  <c r="H1" i="5" s="1"/>
  <c r="CC32" i="2"/>
  <c r="CB33" i="2"/>
  <c r="CC33" i="2" l="1"/>
  <c r="CB34" i="2"/>
  <c r="CC34" i="2" l="1"/>
  <c r="CB35" i="2"/>
  <c r="CC35" i="2" l="1"/>
  <c r="BZ37" i="2"/>
  <c r="CA37" i="2" l="1"/>
  <c r="BZ39" i="2"/>
  <c r="CA39" i="2" l="1"/>
  <c r="BZ41" i="2"/>
  <c r="CA41" i="2" l="1"/>
  <c r="BZ42" i="2"/>
  <c r="CA42" i="2" l="1"/>
  <c r="BZ43" i="2"/>
  <c r="CA43" i="2" l="1"/>
  <c r="BZ44" i="2"/>
  <c r="CA44" i="2" s="1"/>
  <c r="D21" i="3" l="1"/>
  <c r="D23" i="3" s="1"/>
  <c r="C21" i="3"/>
  <c r="C24" i="3" l="1"/>
  <c r="C23" i="3"/>
  <c r="D24" i="3"/>
  <c r="E23" i="3" l="1"/>
  <c r="E24" i="3"/>
  <c r="E25" i="3"/>
  <c r="E26" i="3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4">
    <bk>
      <extLst>
        <ext uri="{3e2802c4-a4d2-4d8b-9148-e3be6c30e623}">
          <xlrd:rvb i="2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10"/>
        </ext>
      </extLst>
    </bk>
  </future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<sst xmlns="http://schemas.openxmlformats.org/spreadsheetml/2006/main" count="112" uniqueCount="69">
  <si>
    <r>
      <t>3.</t>
    </r>
    <r>
      <rPr>
        <sz val="10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  <scheme val="minor"/>
      </rPr>
      <t>KROK – pred použitím výstupy samostatne overte</t>
    </r>
  </si>
  <si>
    <t>POSTUP:</t>
  </si>
  <si>
    <r>
      <t>UPOZORNENIE:</t>
    </r>
    <r>
      <rPr>
        <sz val="7"/>
        <color theme="1"/>
        <rFont val="Calibri"/>
        <family val="2"/>
        <charset val="238"/>
        <scheme val="minor"/>
      </rPr>
      <t xml:space="preserve"> Výstupy tu uvádzané nemusia byť presné. Pracujú s odchýlkou kvôli priemerovaniu a použitiu intervalov vstupných koeficientov. Autor a ani spoločnosť </t>
    </r>
    <r>
      <rPr>
        <b/>
        <sz val="7"/>
        <color theme="1"/>
        <rFont val="Calibri"/>
        <family val="2"/>
        <charset val="238"/>
        <scheme val="minor"/>
      </rPr>
      <t>TRIM Broker nezodpovedá za správnosť alebo aktuálnosť tu poskytnutých údajov a výstupov</t>
    </r>
    <r>
      <rPr>
        <sz val="7"/>
        <color theme="1"/>
        <rFont val="Calibri"/>
        <family val="2"/>
        <charset val="238"/>
        <scheme val="minor"/>
      </rPr>
      <t>. Užívateľ je povinný tie pred použitím overiť, alebo prispôsobiť. Tu uvedené informácie sa predkladajú „ako sú“ pre vzdelávacie účely. Nepredstavujú odporúčanie na vykonanie obchodu s finančnými nástrojmi a nemožno ich v žiadnom prípade považovať za investičné odporúčanie alebo osobné odporúčanie na vykonanie obchodu s finančnými nástrojmi.</t>
    </r>
  </si>
  <si>
    <t>(akcií a dlhopisov)</t>
  </si>
  <si>
    <t>pravidelne dokupovaného a zloženého z dvoch tried aktív</t>
  </si>
  <si>
    <t>modelová kalkulačka</t>
  </si>
  <si>
    <t>REBALANSÁCIA INVESTIČNÉHO PORTFÓLIA</t>
  </si>
  <si>
    <t>Áno</t>
  </si>
  <si>
    <t>Dlhopisy</t>
  </si>
  <si>
    <t>Nie</t>
  </si>
  <si>
    <t>Akcie</t>
  </si>
  <si>
    <t>Cena/ks</t>
  </si>
  <si>
    <r>
      <t>Trh. hodnota  (</t>
    </r>
    <r>
      <rPr>
        <b/>
        <sz val="10"/>
        <color theme="1"/>
        <rFont val="Calibri"/>
        <family val="2"/>
        <charset val="238"/>
      </rPr>
      <t>€)</t>
    </r>
  </si>
  <si>
    <t>Mena</t>
  </si>
  <si>
    <t>Trhová hodnota</t>
  </si>
  <si>
    <t>Pokračovať v dokupovaní?</t>
  </si>
  <si>
    <t>Trieda aktív</t>
  </si>
  <si>
    <t>TIKER</t>
  </si>
  <si>
    <t>vpíšte aktuálnu trhovú hodnotu v mene aktíva</t>
  </si>
  <si>
    <t>máte záujem aktívum dokupovať?</t>
  </si>
  <si>
    <t>vyber</t>
  </si>
  <si>
    <t>vpíšte do bunky tiker, napr. SPYI</t>
  </si>
  <si>
    <t>Vpíšte želaný pomer akcií v portfóliu v %</t>
  </si>
  <si>
    <t>Cielový alokačný pomer akcií v portfóliu</t>
  </si>
  <si>
    <r>
      <t xml:space="preserve">Vpíšte aktuálny (posledný) stredový kurz EUR.USD (ak nadobúdate cenné papiere i v mene </t>
    </r>
    <r>
      <rPr>
        <sz val="9"/>
        <color theme="1"/>
        <rFont val="Calibri"/>
        <family val="2"/>
        <charset val="238"/>
      </rPr>
      <t>$</t>
    </r>
    <r>
      <rPr>
        <i/>
        <sz val="9"/>
        <color theme="1"/>
        <rFont val="Calibri"/>
        <family val="2"/>
        <charset val="238"/>
        <scheme val="minor"/>
      </rPr>
      <t>)</t>
    </r>
  </si>
  <si>
    <t>Kurz EUR.USD (BID)</t>
  </si>
  <si>
    <t>Vpíšte počet rokov do plánovaného konca investičného horizontu portfólia (vrátane súčasného roka)</t>
  </si>
  <si>
    <t>Zostávajúci ivestičný horizont (v rokoch)</t>
  </si>
  <si>
    <r>
      <t xml:space="preserve">Vpíšte výšku pravidelného dokupovania portfólia v </t>
    </r>
    <r>
      <rPr>
        <sz val="9"/>
        <color theme="1"/>
        <rFont val="Calibri"/>
        <family val="2"/>
        <charset val="238"/>
      </rPr>
      <t>€</t>
    </r>
  </si>
  <si>
    <r>
      <t>Výška pravidelnej investície (</t>
    </r>
    <r>
      <rPr>
        <sz val="10"/>
        <color theme="1"/>
        <rFont val="Calibri"/>
        <family val="2"/>
        <charset val="238"/>
      </rPr>
      <t>€)</t>
    </r>
  </si>
  <si>
    <t>VSTUPNÉ PARAMETRE</t>
  </si>
  <si>
    <t>Needitovať, vypĺňa sa automaticky</t>
  </si>
  <si>
    <t>Editovacia bunka</t>
  </si>
  <si>
    <t>Kde:</t>
  </si>
  <si>
    <r>
      <rPr>
        <b/>
        <sz val="9"/>
        <color theme="1"/>
        <rFont val="Calibri"/>
        <family val="2"/>
        <charset val="238"/>
        <scheme val="minor"/>
      </rPr>
      <t xml:space="preserve">Upozornenie </t>
    </r>
    <r>
      <rPr>
        <sz val="9"/>
        <color theme="1"/>
        <rFont val="Calibri"/>
        <family val="2"/>
        <charset val="238"/>
        <scheme val="minor"/>
      </rPr>
      <t>- počet kusov si prosím dopočítajte na aktuálnych cenách samostatne. Cena použitá vo výpočte nemusí byť aktuálna.</t>
    </r>
  </si>
  <si>
    <r>
      <t>Trh. hodnota  (</t>
    </r>
    <r>
      <rPr>
        <b/>
        <sz val="9"/>
        <color theme="1"/>
        <rFont val="Calibri"/>
        <family val="2"/>
        <charset val="238"/>
      </rPr>
      <t>€)</t>
    </r>
  </si>
  <si>
    <t>Dokupovanie</t>
  </si>
  <si>
    <t>Indikatívna</t>
  </si>
  <si>
    <t>Odchýlka výpočtu</t>
  </si>
  <si>
    <t>Cielený alokačný pomer</t>
  </si>
  <si>
    <t>Súčaný alokačný pomer</t>
  </si>
  <si>
    <r>
      <t xml:space="preserve">Súčasná trhová hodnota aktív v </t>
    </r>
    <r>
      <rPr>
        <i/>
        <sz val="8"/>
        <color theme="1"/>
        <rFont val="Calibri"/>
        <family val="2"/>
        <charset val="238"/>
      </rPr>
      <t>$</t>
    </r>
  </si>
  <si>
    <t>USD</t>
  </si>
  <si>
    <r>
      <t xml:space="preserve">Súčasná trhová hodnota aktív v </t>
    </r>
    <r>
      <rPr>
        <i/>
        <sz val="8"/>
        <color theme="1"/>
        <rFont val="Calibri"/>
        <family val="2"/>
        <charset val="238"/>
      </rPr>
      <t>€</t>
    </r>
  </si>
  <si>
    <t>EUR</t>
  </si>
  <si>
    <t>CHYBA. Informujte nás prosím na info@trimbroker.cz</t>
  </si>
  <si>
    <r>
      <t>Celková súčasná hodnota porfólia (</t>
    </r>
    <r>
      <rPr>
        <sz val="9"/>
        <color theme="1"/>
        <rFont val="Calibri"/>
        <family val="2"/>
        <charset val="238"/>
      </rPr>
      <t>€)</t>
    </r>
  </si>
  <si>
    <t>Tento rozdiel vznikol prípustnou odchýlkou výpočtu.</t>
  </si>
  <si>
    <t>0/1</t>
  </si>
  <si>
    <t>Skutočnosť</t>
  </si>
  <si>
    <t>skutočnosť</t>
  </si>
  <si>
    <t>zaradenie</t>
  </si>
  <si>
    <t>Celkom</t>
  </si>
  <si>
    <t>dlhopisy</t>
  </si>
  <si>
    <t>akcie</t>
  </si>
  <si>
    <t>1.       KROK – vyplňte vstupné údaje</t>
  </si>
  <si>
    <t>2.       KROK – skontrolujte hárok modelovaná rebalansácia</t>
  </si>
  <si>
    <t>Chybové hlásenie</t>
  </si>
  <si>
    <t>Výsledný pomer alokácie aktív bez predaja</t>
  </si>
  <si>
    <t>Výsledný pomer alokácie aktív s predajom</t>
  </si>
  <si>
    <t xml:space="preserve">Rebalansácia portfólia s predajpm aktív </t>
  </si>
  <si>
    <t>Akou formou chcete portfólio rebalansovať?</t>
  </si>
  <si>
    <t>Bez predaja aktív</t>
  </si>
  <si>
    <t>S predajom aktív</t>
  </si>
  <si>
    <t>Odporúčanie: Kedy je vhodné zvoliť rebalansáciu s predajom aktív? 1) ak nemám dostatok voľných zdrojov na dokúpenie podváženého aktíva 2) ak to vyhovuje daňovému testu (cenné papiere predané po 12 kal. mes. (SR-FO, ČR FO po 3r) po ich nadobudnutí je príjem z ich predaja oslobodený od dane z príjmu)</t>
  </si>
  <si>
    <t>Rebalansovania</t>
  </si>
  <si>
    <t>odhad (+ kúpiť, - predať)</t>
  </si>
  <si>
    <t>Rebalansácia portfólia bez PREDAJA aktív</t>
  </si>
  <si>
    <t>Manuál: Ako používať kalkulačku rebalansácie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</si>
</sst>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8" formatCode="#,##0\ &quot;€&quot;"/>
    <numFmt numFmtId="169" formatCode="0&quot;/ks&quot;"/>
    <numFmt numFmtId="170" formatCode="0.0%"/>
    <numFmt numFmtId="171" formatCode="[$$-409]#,##0"/>
    <numFmt numFmtId="172" formatCode="#,##0.00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fgColor theme="5"/>
        <bgColor theme="0"/>
      </patternFill>
    </fill>
  </fills>
  <borders count="7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9">
    <xf numFmtId="0" fontId="0" fillId="0" borderId="0" xfId="0"/>
    <xf numFmtId="0" fontId="0" fillId="2" borderId="0" xfId="0" applyFill="1"/>
    <xf numFmtId="0" fontId="6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9" fontId="4" fillId="2" borderId="0" xfId="0" applyNumberFormat="1" applyFont="1" applyFill="1"/>
    <xf numFmtId="4" fontId="4" fillId="3" borderId="1" xfId="0" applyNumberFormat="1" applyFont="1" applyFill="1" applyBorder="1"/>
    <xf numFmtId="168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" fontId="4" fillId="3" borderId="2" xfId="0" applyNumberFormat="1" applyFont="1" applyFill="1" applyBorder="1"/>
    <xf numFmtId="168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6" fillId="2" borderId="0" xfId="0" applyFont="1" applyFill="1"/>
    <xf numFmtId="9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/>
    <xf numFmtId="3" fontId="6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left" indent="1"/>
    </xf>
    <xf numFmtId="0" fontId="4" fillId="2" borderId="1" xfId="0" applyFont="1" applyFill="1" applyBorder="1"/>
    <xf numFmtId="0" fontId="9" fillId="2" borderId="0" xfId="0" applyFont="1" applyFill="1" applyAlignment="1">
      <alignment horizontal="left" indent="1"/>
    </xf>
    <xf numFmtId="0" fontId="4" fillId="2" borderId="2" xfId="0" applyFont="1" applyFill="1" applyBorder="1"/>
    <xf numFmtId="0" fontId="14" fillId="3" borderId="0" xfId="0" applyFont="1" applyFill="1"/>
    <xf numFmtId="0" fontId="14" fillId="4" borderId="0" xfId="0" applyFont="1" applyFill="1"/>
    <xf numFmtId="0" fontId="15" fillId="2" borderId="0" xfId="0" applyFont="1" applyFill="1"/>
    <xf numFmtId="0" fontId="14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169" fontId="16" fillId="2" borderId="0" xfId="0" applyNumberFormat="1" applyFont="1" applyFill="1" applyAlignment="1">
      <alignment horizontal="right"/>
    </xf>
    <xf numFmtId="169" fontId="16" fillId="6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left"/>
    </xf>
    <xf numFmtId="9" fontId="16" fillId="2" borderId="0" xfId="0" applyNumberFormat="1" applyFont="1" applyFill="1"/>
    <xf numFmtId="169" fontId="16" fillId="6" borderId="4" xfId="0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left"/>
    </xf>
    <xf numFmtId="0" fontId="17" fillId="2" borderId="0" xfId="0" applyFont="1" applyFill="1" applyAlignment="1">
      <alignment horizontal="right"/>
    </xf>
    <xf numFmtId="0" fontId="17" fillId="6" borderId="3" xfId="0" applyFont="1" applyFill="1" applyBorder="1" applyAlignment="1">
      <alignment horizontal="right"/>
    </xf>
    <xf numFmtId="0" fontId="17" fillId="3" borderId="3" xfId="0" applyFont="1" applyFill="1" applyBorder="1" applyAlignment="1">
      <alignment horizontal="right"/>
    </xf>
    <xf numFmtId="0" fontId="17" fillId="3" borderId="3" xfId="0" applyFont="1" applyFill="1" applyBorder="1"/>
    <xf numFmtId="0" fontId="11" fillId="2" borderId="0" xfId="0" applyFont="1" applyFill="1" applyAlignment="1">
      <alignment horizontal="right"/>
    </xf>
    <xf numFmtId="10" fontId="16" fillId="2" borderId="0" xfId="0" applyNumberFormat="1" applyFont="1" applyFill="1" applyAlignment="1">
      <alignment horizontal="right"/>
    </xf>
    <xf numFmtId="0" fontId="19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/>
    </xf>
    <xf numFmtId="170" fontId="16" fillId="2" borderId="0" xfId="0" applyNumberFormat="1" applyFont="1" applyFill="1"/>
    <xf numFmtId="3" fontId="16" fillId="2" borderId="0" xfId="0" applyNumberFormat="1" applyFont="1" applyFill="1"/>
    <xf numFmtId="3" fontId="16" fillId="2" borderId="0" xfId="0" applyNumberFormat="1" applyFont="1" applyFill="1" applyAlignment="1">
      <alignment horizontal="right"/>
    </xf>
    <xf numFmtId="10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9" fontId="16" fillId="3" borderId="1" xfId="0" applyNumberFormat="1" applyFont="1" applyFill="1" applyBorder="1" applyAlignment="1">
      <alignment horizontal="right"/>
    </xf>
    <xf numFmtId="168" fontId="17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left"/>
    </xf>
    <xf numFmtId="168" fontId="16" fillId="3" borderId="1" xfId="0" applyNumberFormat="1" applyFont="1" applyFill="1" applyBorder="1" applyAlignment="1">
      <alignment horizontal="right"/>
    </xf>
    <xf numFmtId="3" fontId="17" fillId="3" borderId="1" xfId="0" applyNumberFormat="1" applyFont="1" applyFill="1" applyBorder="1" applyAlignment="1">
      <alignment horizontal="right"/>
    </xf>
    <xf numFmtId="9" fontId="14" fillId="2" borderId="0" xfId="0" applyNumberFormat="1" applyFont="1" applyFill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171" fontId="9" fillId="3" borderId="1" xfId="0" applyNumberFormat="1" applyFont="1" applyFill="1" applyBorder="1"/>
    <xf numFmtId="0" fontId="9" fillId="3" borderId="1" xfId="0" applyFont="1" applyFill="1" applyBorder="1" applyAlignment="1">
      <alignment horizontal="left" indent="1"/>
    </xf>
    <xf numFmtId="168" fontId="9" fillId="3" borderId="1" xfId="0" applyNumberFormat="1" applyFont="1" applyFill="1" applyBorder="1"/>
    <xf numFmtId="168" fontId="16" fillId="3" borderId="4" xfId="0" applyNumberFormat="1" applyFont="1" applyFill="1" applyBorder="1" applyAlignment="1">
      <alignment horizontal="right"/>
    </xf>
    <xf numFmtId="0" fontId="17" fillId="2" borderId="0" xfId="0" applyFont="1" applyFill="1"/>
    <xf numFmtId="9" fontId="17" fillId="2" borderId="0" xfId="0" applyNumberFormat="1" applyFont="1" applyFill="1"/>
    <xf numFmtId="0" fontId="17" fillId="3" borderId="3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0" fontId="0" fillId="0" borderId="0" xfId="0" applyNumberFormat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left"/>
      <protection hidden="1"/>
    </xf>
    <xf numFmtId="3" fontId="0" fillId="0" borderId="0" xfId="0" applyNumberFormat="1" applyAlignment="1" applyProtection="1">
      <alignment horizontal="right"/>
      <protection hidden="1"/>
    </xf>
    <xf numFmtId="9" fontId="0" fillId="0" borderId="0" xfId="0" applyNumberFormat="1" applyProtection="1">
      <protection hidden="1"/>
    </xf>
    <xf numFmtId="9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3" fontId="3" fillId="2" borderId="0" xfId="0" applyNumberFormat="1" applyFont="1" applyFill="1" applyAlignment="1" applyProtection="1">
      <alignment horizontal="left"/>
      <protection hidden="1"/>
    </xf>
    <xf numFmtId="9" fontId="3" fillId="2" borderId="0" xfId="0" applyNumberFormat="1" applyFont="1" applyFill="1" applyProtection="1">
      <protection hidden="1"/>
    </xf>
    <xf numFmtId="3" fontId="3" fillId="2" borderId="0" xfId="0" applyNumberFormat="1" applyFont="1" applyFill="1" applyAlignment="1" applyProtection="1">
      <alignment horizontal="right"/>
      <protection hidden="1"/>
    </xf>
    <xf numFmtId="10" fontId="3" fillId="2" borderId="0" xfId="0" applyNumberFormat="1" applyFont="1" applyFill="1" applyProtection="1">
      <protection hidden="1"/>
    </xf>
    <xf numFmtId="4" fontId="1" fillId="2" borderId="0" xfId="0" applyNumberFormat="1" applyFont="1" applyFill="1" applyProtection="1">
      <protection hidden="1"/>
    </xf>
    <xf numFmtId="10" fontId="3" fillId="2" borderId="0" xfId="0" applyNumberFormat="1" applyFont="1" applyFill="1" applyAlignment="1" applyProtection="1">
      <alignment horizontal="right"/>
      <protection hidden="1"/>
    </xf>
    <xf numFmtId="172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4" fontId="3" fillId="2" borderId="0" xfId="0" applyNumberFormat="1" applyFont="1" applyFill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3" fontId="0" fillId="0" borderId="0" xfId="0" applyNumberFormat="1"/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9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9" fontId="3" fillId="2" borderId="0" xfId="0" applyNumberFormat="1" applyFont="1" applyFill="1"/>
    <xf numFmtId="10" fontId="3" fillId="2" borderId="0" xfId="0" applyNumberFormat="1" applyFont="1" applyFill="1" applyAlignment="1">
      <alignment horizontal="right"/>
    </xf>
    <xf numFmtId="10" fontId="3" fillId="2" borderId="0" xfId="0" applyNumberFormat="1" applyFont="1" applyFill="1"/>
    <xf numFmtId="4" fontId="1" fillId="2" borderId="0" xfId="0" applyNumberFormat="1" applyFont="1" applyFill="1"/>
    <xf numFmtId="172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4" borderId="2" xfId="0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9" fontId="4" fillId="4" borderId="1" xfId="0" applyNumberFormat="1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left"/>
    </xf>
    <xf numFmtId="0" fontId="19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6" fillId="2" borderId="0" xfId="0" applyFont="1" applyFill="1" applyBorder="1"/>
    <xf numFmtId="9" fontId="16" fillId="2" borderId="0" xfId="0" applyNumberFormat="1" applyFont="1" applyFill="1" applyBorder="1"/>
    <xf numFmtId="0" fontId="14" fillId="2" borderId="0" xfId="0" applyFont="1" applyFill="1" applyBorder="1" applyAlignment="1">
      <alignment horizontal="left" wrapText="1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17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right"/>
    </xf>
    <xf numFmtId="0" fontId="21" fillId="2" borderId="0" xfId="1" applyFill="1"/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21" fillId="2" borderId="0" xfId="1" applyFill="1" applyAlignment="1">
      <alignment horizontal="justify" vertical="center" wrapText="1"/>
    </xf>
    <xf numFmtId="0" fontId="21" fillId="2" borderId="0" xfId="1" applyFill="1" applyAlignment="1">
      <alignment wrapText="1"/>
    </xf>
    <xf numFmtId="0" fontId="21" fillId="0" borderId="0" xfId="1" applyAlignment="1">
      <alignment wrapText="1"/>
    </xf>
    <xf numFmtId="0" fontId="4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6" fillId="5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wrapText="1" indent="1"/>
    </xf>
    <xf numFmtId="0" fontId="14" fillId="0" borderId="0" xfId="0" applyFont="1" applyAlignment="1">
      <alignment horizontal="left" wrapText="1" indent="1"/>
    </xf>
    <xf numFmtId="0" fontId="9" fillId="2" borderId="6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2" fillId="4" borderId="5" xfId="0" applyFont="1" applyFill="1" applyBorder="1" applyAlignment="1" applyProtection="1">
      <alignment horizontal="right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06/relationships/rdSupportingPropertyBagStructure" Target="richData/rdsupportingpropertybagstructure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06/relationships/richStyles" Target="richData/richStyle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06/relationships/rdRichValueStructure" Target="richData/rdrichvaluestructure.xml"/><Relationship Id="rId5" Type="http://schemas.openxmlformats.org/officeDocument/2006/relationships/worksheet" Target="worksheets/sheet5.xml"/><Relationship Id="rId15" Type="http://schemas.microsoft.com/office/2017/06/relationships/rdRichValueTypes" Target="richData/rdRichValueTypes.xml"/><Relationship Id="rId10" Type="http://schemas.microsoft.com/office/2017/06/relationships/rdRichValue" Target="richData/rdrichvalue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Relationship Id="rId14" Type="http://schemas.microsoft.com/office/2017/06/relationships/rdSupportingPropertyBag" Target="richData/rdsupportingpropertybag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rimbroker.cz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imbroker.cz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rimbroker.c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152400</xdr:rowOff>
    </xdr:from>
    <xdr:to>
      <xdr:col>5</xdr:col>
      <xdr:colOff>134620</xdr:colOff>
      <xdr:row>5</xdr:row>
      <xdr:rowOff>38100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7E2CDD4-F594-4A32-A18D-E7991B89BCFA}"/>
            </a:ext>
          </a:extLst>
        </xdr:cNvPr>
        <xdr:cNvSpPr txBox="1"/>
      </xdr:nvSpPr>
      <xdr:spPr>
        <a:xfrm>
          <a:off x="2724150" y="152400"/>
          <a:ext cx="458470" cy="806450"/>
        </a:xfrm>
        <a:prstGeom prst="rect">
          <a:avLst/>
        </a:prstGeom>
      </xdr:spPr>
      <xdr:txBody>
        <a:bodyPr wrap="square" rtlCol="0"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</a:pP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Autor: Martin Moravčík (v.1, r. 2020)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info@trimbroker.cz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 u="sng">
              <a:solidFill>
                <a:srgbClr val="0331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rId1"/>
            </a:rPr>
            <a:t>www.trimbroker.cz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INVESTOVANIU ROZUMIEME</a:t>
          </a:r>
          <a:endParaRPr lang="sk-SK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146050</xdr:colOff>
      <xdr:row>0</xdr:row>
      <xdr:rowOff>165100</xdr:rowOff>
    </xdr:from>
    <xdr:to>
      <xdr:col>5</xdr:col>
      <xdr:colOff>762000</xdr:colOff>
      <xdr:row>4</xdr:row>
      <xdr:rowOff>95250</xdr:rowOff>
    </xdr:to>
    <xdr:pic>
      <xdr:nvPicPr>
        <xdr:cNvPr id="3" name="Obrázok 7" descr="Fotka TRIMBroker.">
          <a:extLst>
            <a:ext uri="{FF2B5EF4-FFF2-40B4-BE49-F238E27FC236}">
              <a16:creationId xmlns:a16="http://schemas.microsoft.com/office/drawing/2014/main" id="{649D20C4-07D9-4307-BE73-20EE7BBB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050" y="165100"/>
          <a:ext cx="4635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158750</xdr:rowOff>
    </xdr:from>
    <xdr:to>
      <xdr:col>6</xdr:col>
      <xdr:colOff>0</xdr:colOff>
      <xdr:row>4</xdr:row>
      <xdr:rowOff>44450</xdr:rowOff>
    </xdr:to>
    <xdr:pic>
      <xdr:nvPicPr>
        <xdr:cNvPr id="2" name="Obrázok 7" descr="Fotka TRIMBroker.">
          <a:extLst>
            <a:ext uri="{FF2B5EF4-FFF2-40B4-BE49-F238E27FC236}">
              <a16:creationId xmlns:a16="http://schemas.microsoft.com/office/drawing/2014/main" id="{C9A9E7BD-ABFB-4C40-AF3B-06202403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58750"/>
          <a:ext cx="4953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285750</xdr:colOff>
      <xdr:row>0</xdr:row>
      <xdr:rowOff>152400</xdr:rowOff>
    </xdr:from>
    <xdr:to>
      <xdr:col>5</xdr:col>
      <xdr:colOff>134620</xdr:colOff>
      <xdr:row>5</xdr:row>
      <xdr:rowOff>38100</xdr:rowOff>
    </xdr:to>
    <xdr:sp macro="" textlink="">
      <xdr:nvSpPr>
        <xdr:cNvPr id="3" name="BlokTextu 1">
          <a:extLst>
            <a:ext uri="{FF2B5EF4-FFF2-40B4-BE49-F238E27FC236}">
              <a16:creationId xmlns:a16="http://schemas.microsoft.com/office/drawing/2014/main" id="{4B034C56-813A-4302-839E-CFA2C27AB114}"/>
            </a:ext>
          </a:extLst>
        </xdr:cNvPr>
        <xdr:cNvSpPr txBox="1"/>
      </xdr:nvSpPr>
      <xdr:spPr>
        <a:xfrm>
          <a:off x="2724150" y="152400"/>
          <a:ext cx="458470" cy="806450"/>
        </a:xfrm>
        <a:prstGeom prst="rect">
          <a:avLst/>
        </a:prstGeom>
      </xdr:spPr>
      <xdr:txBody>
        <a:bodyPr wrap="square" rtlCol="0"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</a:pP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Autor: Martin Moravčík (v.1, r. 2020)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info@trimbroker.cz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 u="sng">
              <a:solidFill>
                <a:srgbClr val="0331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rId2"/>
            </a:rPr>
            <a:t>www.trimbroker.cz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INVESTOVANIU ROZUMIEME</a:t>
          </a:r>
          <a:endParaRPr lang="sk-SK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88900</xdr:rowOff>
    </xdr:from>
    <xdr:to>
      <xdr:col>7</xdr:col>
      <xdr:colOff>382270</xdr:colOff>
      <xdr:row>4</xdr:row>
      <xdr:rowOff>139700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2B0F391C-3D24-4673-B0D4-5AF35BC9E400}"/>
            </a:ext>
          </a:extLst>
        </xdr:cNvPr>
        <xdr:cNvSpPr txBox="1"/>
      </xdr:nvSpPr>
      <xdr:spPr>
        <a:xfrm>
          <a:off x="3143250" y="88900"/>
          <a:ext cx="1506220" cy="787400"/>
        </a:xfrm>
        <a:prstGeom prst="rect">
          <a:avLst/>
        </a:prstGeom>
      </xdr:spPr>
      <xdr:txBody>
        <a:bodyPr wrap="square" rtlCol="0"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</a:pP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Autor: Martin Moravčík (v.1, r. 2020)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info@trimbroker.cz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 u="sng">
              <a:solidFill>
                <a:srgbClr val="03316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rId1"/>
            </a:rPr>
            <a:t>www.trimbroker.cz</a:t>
          </a:r>
          <a:b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sk-SK" sz="800">
              <a:solidFill>
                <a:srgbClr val="76717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INVESTOVANIU ROZUMIEME</a:t>
          </a:r>
          <a:endParaRPr lang="sk-SK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444500</xdr:colOff>
      <xdr:row>0</xdr:row>
      <xdr:rowOff>95250</xdr:rowOff>
    </xdr:from>
    <xdr:to>
      <xdr:col>8</xdr:col>
      <xdr:colOff>317500</xdr:colOff>
      <xdr:row>3</xdr:row>
      <xdr:rowOff>158750</xdr:rowOff>
    </xdr:to>
    <xdr:pic>
      <xdr:nvPicPr>
        <xdr:cNvPr id="3" name="Obrázok 7" descr="Fotka TRIMBroker.">
          <a:extLst>
            <a:ext uri="{FF2B5EF4-FFF2-40B4-BE49-F238E27FC236}">
              <a16:creationId xmlns:a16="http://schemas.microsoft.com/office/drawing/2014/main" id="{11CFF9B8-8F57-4C54-ABBD-08F803AA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700" y="95250"/>
          <a:ext cx="482600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</keyFlags>
  </global>
  <types>
    <type name="_linkedentity">
      <keyFlags>
        <key name="%cvi">
          <flag name="ShowInCardView" value="0"/>
          <flag name="ShowInDotNotation" value="0"/>
          <flag name="ShowInAutoComplete" value="0"/>
          <flag name="ExcludeFromCalcComparison" value="1"/>
        </key>
      </keyFlags>
    </type>
    <type name="_linkedentitycore">
      <keyFlags>
        <key name="%EntityServiceId">
          <flag name="ShowInCardView" value="0"/>
          <flag name="ShowInDotNotation" value="0"/>
          <flag name="ShowInAutoComplete" value="0"/>
        </key>
        <key name="%EntitySubDomainId">
          <flag name="ShowInCardView" value="0"/>
          <flag name="ShowInDotNotation" value="0"/>
          <flag name="ShowInAutoComplete" value="0"/>
        </key>
        <key name="%EntityCulture">
          <flag name="ShowInCardView" value="0"/>
          <flag name="ShowInDotNotation" value="0"/>
          <flag name="ShowInAutoComplete" value="0"/>
        </key>
        <key name="%EntityId">
          <flag name="ShowInCardView" value="0"/>
          <flag name="ShowInDotNotation" value="0"/>
          <flag name="ShowInAutoComplete" value="0"/>
        </key>
        <key name="%IsRefreshable">
          <flag name="ShowInCardView" value="0"/>
          <flag name="ShowInAutoComplete" value="0"/>
          <flag name="ExcludeFromCalcComparison" value="1"/>
        </key>
        <key name="%ProviderInfo">
          <flag name="ShowInCardView" value="0"/>
          <flag name="ShowInDotNotation" value="0"/>
          <flag name="ShowInAutoComplete" value="0"/>
        </key>
      </keyFlags>
    </type>
  </types>
</rvTypesInfo>
</file>

<file path=xl/richData/rdrichvalue.xml><?xml version="1.0" encoding="utf-8"?>
<rvData xmlns="http://schemas.microsoft.com/office/spreadsheetml/2017/richdata" count="11">
  <rv s="0">
    <v>https://www.bing.com/financeapi/forcetrigger?t=aloe4c&amp;q=XAMS%3aIWDA&amp;form=skydnc</v>
    <v>Learn more on Bing</v>
  </rv>
  <rv s="1">
    <v>en-US</v>
    <v>aloe4c</v>
    <v>268435456</v>
    <v>268435459</v>
    <v>1</v>
    <v>Powered by Refinitiv</v>
    <v>0</v>
    <v>iShares Core MSCI World UCITS ETF USD (Acc) (XAMS:IWDA)</v>
    <v>2</v>
    <v>3</v>
    <v>Finance</v>
    <v>4</v>
    <v>60.58</v>
    <v>39.46</v>
    <v>EUR</v>
    <v>Euronext Amsterdam</v>
    <v>XAMS</v>
    <v>2E-3</v>
    <v>44.33</v>
    <v>-2.04</v>
    <v>-4.4212999999999995E-2</v>
    <v>ETF</v>
    <v>43922.361122685186</v>
    <v>0</v>
    <v>43.88</v>
    <v>21828880617.549999</v>
    <v>iShares Core MSCI World UCITS ETF USD (Acc)</v>
    <v>44.075000000000003</v>
    <v>46.14</v>
    <v>44.1</v>
    <v>IWDA</v>
    <v>iShares Core MSCI World UCITS ETF USD (Acc) (XAMS:IWDA)</v>
    <v>138024</v>
  </rv>
  <rv s="2">
    <v>1</v>
  </rv>
  <rv s="1">
    <v>en-US</v>
    <v>aloe4c</v>
    <v>268435456</v>
    <v>268435459</v>
    <v>1</v>
    <v>Powered by Refinitiv</v>
    <v>0</v>
    <v>iShares Core MSCI World UCITS ETF USD (Acc) (XAMS:IWDA)</v>
    <v>2</v>
    <v>3</v>
    <v>Finance</v>
    <v>4</v>
    <v>60.58</v>
    <v>39.46</v>
    <v>EUR</v>
    <v>Euronext Amsterdam</v>
    <v>XAMS</v>
    <v>2E-3</v>
    <v>45.365000000000002</v>
    <v>-1.0900000000000001</v>
    <v>-2.3914000000000001E-2</v>
    <v>ETF</v>
    <v>43917.729166666664</v>
    <v>0</v>
    <v>44.174999999999997</v>
    <v>21828880617.549999</v>
    <v>iShares Core MSCI World UCITS ETF USD (Acc)</v>
    <v>45.204999999999998</v>
    <v>45.58</v>
    <v>44.49</v>
    <v>IWDA</v>
    <v>iShares Core MSCI World UCITS ETF USD (Acc) (XAMS:IWDA)</v>
    <v>285248</v>
  </rv>
  <rv s="2">
    <v>3</v>
  </rv>
  <rv s="0">
    <v>https://www.bing.com/financeapi/forcetrigger?t=afrbcw&amp;q=XETR%3aDXET&amp;form=skydnc</v>
    <v>Learn more on Bing</v>
  </rv>
  <rv s="3">
    <v>en-US</v>
    <v>afrbcw</v>
    <v>268435456</v>
    <v>268435459</v>
    <v>1</v>
    <v>Powered by Refinitiv</v>
    <v>5</v>
    <v>Xtrackers Euro Stoxx 50 UCITS ETF 1C (XETR:DXET)</v>
    <v>2</v>
    <v>6</v>
    <v>Finance</v>
    <v>4</v>
    <v>57.16</v>
    <v>34</v>
    <v>1.0055000000000001</v>
    <v>EUR</v>
    <v>Xetra</v>
    <v>XETR</v>
    <v>8.9999999999999998E-4</v>
    <v>41.42</v>
    <v>-1.52</v>
    <v>-3.6159999999999998E-2</v>
    <v>ETF</v>
    <v>43917.81354166667</v>
    <v>5</v>
    <v>39.99</v>
    <v>2730975700</v>
    <v>Xtrackers Euro Stoxx 50 UCITS ETF 1C</v>
    <v>41.42</v>
    <v>42.034999999999997</v>
    <v>40.515000000000001</v>
    <v>DXET</v>
    <v>Xtrackers Euro Stoxx 50 UCITS ETF 1C (XETR:DXET)</v>
    <v>74164</v>
  </rv>
  <rv s="2">
    <v>6</v>
  </rv>
  <rv s="0">
    <v>https://www.bing.com/financeapi/forcetrigger?t=bnesqh&amp;q=XSWX%3aCSBGU0&amp;form=skydnc</v>
    <v>Learn more on Bing</v>
  </rv>
  <rv s="3">
    <v>en-US</v>
    <v>bnesqh</v>
    <v>268435456</v>
    <v>268435459</v>
    <v>1</v>
    <v>Powered by Refinitiv</v>
    <v>5</v>
    <v>iShares $ Treasury Bond 7-10yr UCITS ETF USD (Acc) (XSWX:CSBGU0)</v>
    <v>2</v>
    <v>7</v>
    <v>Finance</v>
    <v>4</v>
    <v>171.6</v>
    <v>143.12</v>
    <v>1.3065</v>
    <v>USD</v>
    <v>SIX Swiss Exchange</v>
    <v>XSWX</v>
    <v>2E-3</v>
    <v>168.56</v>
    <v>1.68</v>
    <v>1.0067999999999999E-2</v>
    <v>ETF</v>
    <v>43917.697951388887</v>
    <v>8</v>
    <v>167.18</v>
    <v>618306224.21000004</v>
    <v>iShares $ Treasury Bond 7-10yr UCITS ETF USD (Acc)</v>
    <v>167.18</v>
    <v>166.86</v>
    <v>168.54</v>
    <v>CSBGU0</v>
    <v>iShares $ Treasury Bond 7-10yr UCITS ETF USD (Acc) (XSWX:CSBGU0)</v>
    <v>655</v>
  </rv>
  <rv s="2">
    <v>9</v>
  </rv>
</rvData>
</file>

<file path=xl/richData/rdrichvaluestructure.xml><?xml version="1.0" encoding="utf-8"?>
<rvStructures xmlns="http://schemas.microsoft.com/office/spreadsheetml/2017/richdata" count="4">
  <s t="_hyperlink">
    <k n="Address" t="s"/>
    <k n="Text" t="s"/>
  </s>
  <s t="_linkedentitycore">
    <k n="%EntityCulture" t="s"/>
    <k n="%EntityId" t="s"/>
    <k n="%EntityServiceId"/>
    <k n="%EntitySubDomainId"/>
    <k n="%IsRefreshable" t="b"/>
    <k n="%ProviderInfo" t="s"/>
    <k n="_Display" t="spb"/>
    <k n="_DisplayString" t="s"/>
    <k n="_Flags" t="spb"/>
    <k n="_Format" t="spb"/>
    <k n="_Icon" t="s"/>
    <k n="_SubLabel" t="spb"/>
    <k n="52 week high"/>
    <k n="52 week low"/>
    <k n="Currency" t="s"/>
    <k n="Exchange" t="s"/>
    <k n="Exchange abbreviation" t="s"/>
    <k n="Expense ratio"/>
    <k n="High"/>
    <k n="Change"/>
    <k n="Change (%)"/>
    <k n="Instrument type" t="s"/>
    <k n="Last trade time"/>
    <k n="LearnMoreOnLink" t="r"/>
    <k n="Low"/>
    <k n="Market cap"/>
    <k n="Name" t="s"/>
    <k n="Open"/>
    <k n="Previous close"/>
    <k n="Price"/>
    <k n="Ticker symbol" t="s"/>
    <k n="UniqueName" t="s"/>
    <k n="Volume"/>
  </s>
  <s t="_linkedentity">
    <k n="%cvi" t="r"/>
  </s>
  <s t="_linkedentitycore">
    <k n="%EntityCulture" t="s"/>
    <k n="%EntityId" t="s"/>
    <k n="%EntityServiceId"/>
    <k n="%EntitySubDomainId"/>
    <k n="%IsRefreshable" t="b"/>
    <k n="%ProviderInfo" t="s"/>
    <k n="_Display" t="spb"/>
    <k n="_DisplayString" t="s"/>
    <k n="_Flags" t="spb"/>
    <k n="_Format" t="spb"/>
    <k n="_Icon" t="s"/>
    <k n="_SubLabel" t="spb"/>
    <k n="52 week high"/>
    <k n="52 week low"/>
    <k n="Beta"/>
    <k n="Currency" t="s"/>
    <k n="Exchange" t="s"/>
    <k n="Exchange abbreviation" t="s"/>
    <k n="Expense ratio"/>
    <k n="High"/>
    <k n="Change"/>
    <k n="Change (%)"/>
    <k n="Instrument type" t="s"/>
    <k n="Last trade time"/>
    <k n="LearnMoreOnLink" t="r"/>
    <k n="Low"/>
    <k n="Market cap"/>
    <k n="Name" t="s"/>
    <k n="Open"/>
    <k n="Previous close"/>
    <k n="Price"/>
    <k n="Ticker symbol" t="s"/>
    <k n="UniqueName" t="s"/>
    <k n="Volume"/>
  </s>
</rvStructures>
</file>

<file path=xl/richData/rdsupportingpropertybag.xml><?xml version="1.0" encoding="utf-8"?>
<supportingPropertyBags xmlns="http://schemas.microsoft.com/office/spreadsheetml/2017/richdata2">
  <spbArrays count="2">
    <a count="33">
      <v t="s">%EntityServiceId</v>
      <v t="s">_Format</v>
      <v t="s">%EntitySubDomainId</v>
      <v t="s">%EntityCulture</v>
      <v t="s">%IsRefreshable</v>
      <v t="s">%EntityId</v>
      <v t="s">_Icon</v>
      <v t="s">Name</v>
      <v t="s">_SubLabel</v>
      <v t="s">Price</v>
      <v t="s">Exchange</v>
      <v t="s">Last trade time</v>
      <v t="s">Ticker symbol</v>
      <v t="s">Exchange abbreviation</v>
      <v t="s">Change</v>
      <v t="s">Expense ratio</v>
      <v t="s">Change (%)</v>
      <v t="s">Currency</v>
      <v t="s">Previous close</v>
      <v t="s">Open</v>
      <v t="s">High</v>
      <v t="s">Low</v>
      <v t="s">52 week high</v>
      <v t="s">52 week low</v>
      <v t="s">Volume</v>
      <v t="s">Market cap</v>
      <v t="s">Instrument type</v>
      <v t="s">_Flags</v>
      <v t="s">UniqueName</v>
      <v t="s">_DisplayString</v>
      <v t="s">LearnMoreOnLink</v>
      <v t="s">%ProviderInfo</v>
      <v t="s">_Display</v>
    </a>
    <a count="34">
      <v t="s">%EntityServiceId</v>
      <v t="s">_Format</v>
      <v t="s">%EntitySubDomainId</v>
      <v t="s">%EntityCulture</v>
      <v t="s">%IsRefreshable</v>
      <v t="s">%EntityId</v>
      <v t="s">_Icon</v>
      <v t="s">Name</v>
      <v t="s">_SubLabel</v>
      <v t="s">Price</v>
      <v t="s">Exchange</v>
      <v t="s">Last trade time</v>
      <v t="s">Ticker symbol</v>
      <v t="s">Exchange abbreviation</v>
      <v t="s">Change</v>
      <v t="s">Expense ratio</v>
      <v t="s">Change (%)</v>
      <v t="s">Currency</v>
      <v t="s">Previous close</v>
      <v t="s">Open</v>
      <v t="s">High</v>
      <v t="s">Low</v>
      <v t="s">52 week high</v>
      <v t="s">52 week low</v>
      <v t="s">Volume</v>
      <v t="s">Market cap</v>
      <v t="s">Beta</v>
      <v t="s">Instrument type</v>
      <v t="s">_Flags</v>
      <v t="s">UniqueName</v>
      <v t="s">_DisplayString</v>
      <v t="s">LearnMoreOnLink</v>
      <v t="s">%ProviderInfo</v>
      <v t="s">_Display</v>
    </a>
  </spbArrays>
  <spbData count="8">
    <spb s="0">
      <v>0</v>
    </spb>
    <spb s="1">
      <v>0</v>
      <v>0</v>
      <v>0</v>
    </spb>
    <spb s="2">
      <v>1</v>
      <v>1</v>
    </spb>
    <spb s="3">
      <v>1</v>
      <v>1</v>
      <v>2</v>
      <v>3</v>
      <v>3</v>
      <v>1</v>
      <v>4</v>
      <v>5</v>
      <v>6</v>
      <v>3</v>
      <v>3</v>
      <v>5</v>
      <v>3</v>
      <v>7</v>
      <v>8</v>
      <v>9</v>
      <v>9</v>
    </spb>
    <spb s="4">
      <v>Delayed 15 minutes</v>
      <v>from previous close</v>
      <v>from previous close</v>
      <v>GMT</v>
    </spb>
    <spb s="0">
      <v>1</v>
    </spb>
    <spb s="5">
      <v>1</v>
      <v>1</v>
      <v>1</v>
      <v>2</v>
      <v>3</v>
      <v>3</v>
      <v>1</v>
      <v>4</v>
      <v>5</v>
      <v>6</v>
      <v>3</v>
      <v>3</v>
      <v>5</v>
      <v>3</v>
      <v>7</v>
      <v>8</v>
      <v>9</v>
      <v>9</v>
    </spb>
    <spb s="5">
      <v>1</v>
      <v>1</v>
      <v>1</v>
      <v>2</v>
      <v>10</v>
      <v>10</v>
      <v>1</v>
      <v>4</v>
      <v>5</v>
      <v>11</v>
      <v>10</v>
      <v>10</v>
      <v>5</v>
      <v>10</v>
      <v>7</v>
      <v>8</v>
      <v>9</v>
      <v>9</v>
    </spb>
  </spbData>
</supportingPropertyBags>
</file>

<file path=xl/richData/rdsupportingpropertybagstructure.xml><?xml version="1.0" encoding="utf-8"?>
<spbStructures xmlns="http://schemas.microsoft.com/office/spreadsheetml/2017/richdata2" count="6">
  <s>
    <k n="^Order" t="spba"/>
  </s>
  <s>
    <k n="ShowInCardView" t="b"/>
    <k n="ShowInDotNotation" t="b"/>
    <k n="ShowInAutoComplete" t="b"/>
  </s>
  <s>
    <k n="UniqueName" t="spb"/>
    <k n="%ProviderInfo" t="spb"/>
  </s>
  <s>
    <k n="Low" t="i"/>
    <k n="High" t="i"/>
    <k n="Name" t="i"/>
    <k n="Open" t="i"/>
    <k n="Price" t="i"/>
    <k n="Change" t="i"/>
    <k n="Volume" t="i"/>
    <k n="Change (%)" t="i"/>
    <k n="Market cap" t="i"/>
    <k n="52 week low" t="i"/>
    <k n="52 week high" t="i"/>
    <k n="Expense ratio" t="i"/>
    <k n="Previous close" t="i"/>
    <k n="_DisplayString" t="i"/>
    <k n="Last trade time" t="i"/>
    <k n="%EntityServiceId" t="i"/>
    <k n="%EntitySubDomainId" t="i"/>
  </s>
  <s>
    <k n="Price" t="s"/>
    <k n="Change" t="s"/>
    <k n="Change (%)" t="s"/>
    <k n="Last trade time" t="s"/>
  </s>
  <s>
    <k n="Low" t="i"/>
    <k n="Beta" t="i"/>
    <k n="High" t="i"/>
    <k n="Name" t="i"/>
    <k n="Open" t="i"/>
    <k n="Price" t="i"/>
    <k n="Change" t="i"/>
    <k n="Volume" t="i"/>
    <k n="Change (%)" t="i"/>
    <k n="Market cap" t="i"/>
    <k n="52 week low" t="i"/>
    <k n="52 week high" t="i"/>
    <k n="Expense ratio" t="i"/>
    <k n="Previous close" t="i"/>
    <k n="_DisplayString" t="i"/>
    <k n="Last trade time" t="i"/>
    <k n="%EntityServiceId" t="i"/>
    <k n="%EntitySubDomainId" t="i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9">
    <x:dxf>
      <x:numFmt numFmtId="4" formatCode="#,##0.00"/>
    </x:dxf>
    <x:dxf>
      <x:numFmt numFmtId="167" formatCode="_([$€-2]\ * #,##0.00_);_([$€-2]\ * \(#,##0.00\);_([$€-2]\ * &quot;-&quot;??_);_(@_)"/>
    </x:dxf>
    <x:dxf>
      <x:numFmt numFmtId="3" formatCode="#,##0"/>
    </x:dxf>
    <x:dxf>
      <x:numFmt numFmtId="14" formatCode="0.00%"/>
    </x:dxf>
    <x:dxf>
      <x:numFmt numFmtId="166" formatCode="_([$€-2]\ * #,##0_);_([$€-2]\ * \(#,##0\);_([$€-2]\ * &quot;-&quot;_);_(@_)"/>
    </x:dxf>
    <x:dxf>
      <x:numFmt numFmtId="27" formatCode="d/m/yyyy\ h:mm"/>
    </x:dxf>
    <x:dxf>
      <x:numFmt numFmtId="2" formatCode="0.00"/>
    </x:dxf>
    <x:dxf>
      <x:numFmt numFmtId="165" formatCode="_([$$-409]* #,##0.00_);_([$$-409]* \(#,##0.00\);_([$$-409]* &quot;-&quot;??_);_(@_)"/>
    </x:dxf>
    <x:dxf>
      <x:numFmt numFmtId="164" formatCode="_([$$-409]* #,##0_);_([$$-409]* \(#,##0\);_([$$-409]* &quot;-&quot;_);_(@_)"/>
    </x:dxf>
  </dxfs>
  <richProperties>
    <rPr n="IsTitleField" t="b"/>
    <rPr n="ShouldShowInCell" t="b"/>
  </richProperties>
  <richStyles>
    <rSty dxfid="0"/>
    <rSty>
      <rpv i="0">1</rpv>
    </rSty>
    <rSty dxfid="1"/>
    <rSty dxfid="2"/>
    <rSty dxfid="3"/>
    <rSty dxfid="4"/>
    <rSty>
      <rpv i="1">1</rpv>
    </rSty>
    <rSty dxfid="5"/>
    <rSty dxfid="6"/>
    <rSty dxfid="7"/>
    <rSty dxfid="8"/>
  </richStyles>
</richStyleShee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imbroker.cz/blog-o-investovani/kalkulacka-rebalansacie-investicneho-portfoli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imbroker.cz/blog-o-investovani/kalkulacka-rebalansacie-investicneho-portfoli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8D9E-1600-44B2-9774-FB1A19A84328}">
  <sheetPr>
    <tabColor theme="8"/>
  </sheetPr>
  <dimension ref="B2:F16"/>
  <sheetViews>
    <sheetView tabSelected="1" workbookViewId="0">
      <selection activeCell="A19" sqref="A19"/>
    </sheetView>
  </sheetViews>
  <sheetFormatPr defaultRowHeight="14.5" x14ac:dyDescent="0.35"/>
  <cols>
    <col min="1" max="1" width="8.7265625" style="1"/>
    <col min="2" max="2" width="20.90625" style="1" customWidth="1"/>
    <col min="3" max="4" width="8.7265625" style="1"/>
    <col min="5" max="5" width="32.90625" style="1" customWidth="1"/>
    <col min="6" max="6" width="14.08984375" style="1" customWidth="1"/>
    <col min="7" max="16384" width="8.7265625" style="1"/>
  </cols>
  <sheetData>
    <row r="2" spans="2:6" x14ac:dyDescent="0.35">
      <c r="B2" s="7" t="s">
        <v>6</v>
      </c>
      <c r="C2" s="3"/>
      <c r="D2" s="3"/>
      <c r="E2" s="4"/>
      <c r="F2" s="3"/>
    </row>
    <row r="3" spans="2:6" x14ac:dyDescent="0.35">
      <c r="B3" s="6" t="s">
        <v>5</v>
      </c>
      <c r="C3" s="3"/>
      <c r="D3" s="3"/>
      <c r="E3" s="4"/>
      <c r="F3" s="3"/>
    </row>
    <row r="4" spans="2:6" ht="8" customHeight="1" x14ac:dyDescent="0.35">
      <c r="B4" s="5" t="s">
        <v>4</v>
      </c>
      <c r="C4" s="3"/>
      <c r="D4" s="3"/>
      <c r="E4" s="4"/>
      <c r="F4" s="3"/>
    </row>
    <row r="5" spans="2:6" ht="11" customHeight="1" x14ac:dyDescent="0.35">
      <c r="B5" s="5" t="s">
        <v>3</v>
      </c>
      <c r="C5" s="3"/>
      <c r="D5" s="3"/>
      <c r="E5" s="4"/>
      <c r="F5" s="3"/>
    </row>
    <row r="6" spans="2:6" x14ac:dyDescent="0.35">
      <c r="B6" s="3"/>
      <c r="C6" s="3"/>
      <c r="D6" s="3"/>
      <c r="E6" s="4"/>
      <c r="F6" s="3"/>
    </row>
    <row r="7" spans="2:6" x14ac:dyDescent="0.35">
      <c r="B7" s="135" t="s">
        <v>2</v>
      </c>
      <c r="C7" s="136"/>
      <c r="D7" s="136"/>
      <c r="E7" s="136"/>
      <c r="F7" s="136"/>
    </row>
    <row r="8" spans="2:6" x14ac:dyDescent="0.35">
      <c r="B8" s="136"/>
      <c r="C8" s="136"/>
      <c r="D8" s="136"/>
      <c r="E8" s="136"/>
      <c r="F8" s="136"/>
    </row>
    <row r="10" spans="2:6" x14ac:dyDescent="0.35">
      <c r="B10" s="2" t="s">
        <v>1</v>
      </c>
    </row>
    <row r="11" spans="2:6" ht="13" customHeight="1" x14ac:dyDescent="0.35">
      <c r="B11" s="137" t="s">
        <v>55</v>
      </c>
      <c r="C11" s="138"/>
      <c r="D11" s="138"/>
      <c r="E11" s="139"/>
    </row>
    <row r="12" spans="2:6" ht="13" customHeight="1" x14ac:dyDescent="0.35">
      <c r="B12" s="137" t="s">
        <v>56</v>
      </c>
      <c r="C12" s="138"/>
      <c r="D12" s="138"/>
      <c r="E12" s="139"/>
    </row>
    <row r="13" spans="2:6" ht="13" customHeight="1" x14ac:dyDescent="0.35">
      <c r="B13" s="140" t="s">
        <v>0</v>
      </c>
      <c r="C13" s="141"/>
      <c r="D13" s="141"/>
      <c r="E13" s="142"/>
    </row>
    <row r="16" spans="2:6" x14ac:dyDescent="0.35">
      <c r="B16" s="134" t="s">
        <v>68</v>
      </c>
    </row>
  </sheetData>
  <sheetProtection algorithmName="SHA-512" hashValue="QWABEfZKGlZWmoM3kucg97Cv4qGMpslJaySAcwaUihpL0sypTXCwQO7gYOrwP22XR88jaY3uf4k4P/7USCU12w==" saltValue="V5AdpnTt6RPSpi/OKZGTfA==" spinCount="100000" sheet="1" objects="1" scenarios="1"/>
  <mergeCells count="4">
    <mergeCell ref="B7:F8"/>
    <mergeCell ref="B11:E11"/>
    <mergeCell ref="B12:E12"/>
    <mergeCell ref="B13:E13"/>
  </mergeCells>
  <hyperlinks>
    <hyperlink ref="B11:E11" location="'1.KROK - vstupné údaje'!A1" display="1.       KROK – vyplňte vstupné údaje" xr:uid="{C45BFEEB-151F-4995-ACD8-E175D1F2D73C}"/>
    <hyperlink ref="B12:E12" location="'2.KROK - rebalansacia'!A1" display="2.       KROK – skontrolujte hárok modelovaná rebalansácia" xr:uid="{389E078B-7D27-4170-BCC7-697B2BDC3C81}"/>
    <hyperlink ref="B16" r:id="rId1" xr:uid="{5777382F-836D-4716-90E9-DF65EDE0B687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07B2C-2BE1-4ED0-A323-FFBEEA3A6069}">
  <dimension ref="B2:CC44"/>
  <sheetViews>
    <sheetView workbookViewId="0">
      <selection sqref="A1:XFD1048576"/>
    </sheetView>
  </sheetViews>
  <sheetFormatPr defaultRowHeight="13" x14ac:dyDescent="0.3"/>
  <cols>
    <col min="1" max="1" width="8.7265625" style="3" customWidth="1"/>
    <col min="2" max="2" width="63.1796875" style="3" customWidth="1"/>
    <col min="3" max="3" width="10.453125" style="3" customWidth="1"/>
    <col min="4" max="4" width="23.90625" style="3" customWidth="1"/>
    <col min="5" max="5" width="30.6328125" style="4" customWidth="1"/>
    <col min="6" max="7" width="10.453125" style="3" customWidth="1"/>
    <col min="8" max="8" width="9.7265625" style="3" customWidth="1"/>
    <col min="9" max="9" width="17" style="3" customWidth="1"/>
    <col min="10" max="10" width="36.453125" style="3" customWidth="1"/>
    <col min="11" max="12" width="8.7265625" style="9"/>
    <col min="13" max="13" width="17.26953125" style="8" customWidth="1"/>
    <col min="14" max="15" width="17.81640625" style="3" customWidth="1"/>
    <col min="16" max="16" width="8.7265625" style="3"/>
    <col min="17" max="17" width="18.1796875" style="3" customWidth="1"/>
    <col min="18" max="18" width="8.7265625" style="3"/>
    <col min="19" max="19" width="11.7265625" style="3" customWidth="1"/>
    <col min="20" max="20" width="8.7265625" style="3"/>
    <col min="21" max="21" width="13.54296875" style="3" customWidth="1"/>
    <col min="22" max="16384" width="8.7265625" style="3"/>
  </cols>
  <sheetData>
    <row r="2" spans="2:79" ht="14.5" x14ac:dyDescent="0.3">
      <c r="B2" s="7" t="s">
        <v>6</v>
      </c>
      <c r="H2" s="33"/>
    </row>
    <row r="3" spans="2:79" ht="14.5" x14ac:dyDescent="0.3">
      <c r="B3" s="6" t="s">
        <v>5</v>
      </c>
      <c r="H3" s="34"/>
    </row>
    <row r="4" spans="2:79" x14ac:dyDescent="0.3">
      <c r="B4" s="5" t="s">
        <v>4</v>
      </c>
      <c r="H4" s="34"/>
    </row>
    <row r="5" spans="2:79" x14ac:dyDescent="0.3">
      <c r="B5" s="5" t="s">
        <v>3</v>
      </c>
      <c r="H5" s="34"/>
    </row>
    <row r="6" spans="2:79" x14ac:dyDescent="0.3">
      <c r="H6" s="33"/>
    </row>
    <row r="7" spans="2:79" x14ac:dyDescent="0.3">
      <c r="B7" s="135" t="s">
        <v>2</v>
      </c>
      <c r="C7" s="136"/>
      <c r="D7" s="136"/>
      <c r="E7" s="136"/>
      <c r="F7" s="136"/>
      <c r="H7" s="34"/>
    </row>
    <row r="8" spans="2:79" ht="15" customHeight="1" x14ac:dyDescent="0.3">
      <c r="B8" s="136"/>
      <c r="C8" s="136"/>
      <c r="D8" s="136"/>
      <c r="E8" s="136"/>
      <c r="F8" s="136"/>
    </row>
    <row r="9" spans="2:79" x14ac:dyDescent="0.3">
      <c r="C9" s="33" t="s">
        <v>33</v>
      </c>
    </row>
    <row r="10" spans="2:79" ht="12.5" customHeight="1" x14ac:dyDescent="0.35">
      <c r="B10" s="134" t="s">
        <v>68</v>
      </c>
      <c r="C10" s="32"/>
      <c r="D10" s="29" t="s">
        <v>32</v>
      </c>
    </row>
    <row r="11" spans="2:79" x14ac:dyDescent="0.3">
      <c r="C11" s="31"/>
      <c r="D11" s="29" t="s">
        <v>31</v>
      </c>
    </row>
    <row r="12" spans="2:79" ht="13.5" thickBot="1" x14ac:dyDescent="0.35">
      <c r="B12" s="23" t="s">
        <v>30</v>
      </c>
      <c r="C12" s="23"/>
    </row>
    <row r="13" spans="2:79" x14ac:dyDescent="0.3">
      <c r="B13" s="30" t="s">
        <v>29</v>
      </c>
      <c r="C13" s="116">
        <v>600</v>
      </c>
      <c r="D13" s="27" t="s">
        <v>28</v>
      </c>
      <c r="I13" s="29"/>
      <c r="BZ13" s="3" t="s">
        <v>10</v>
      </c>
      <c r="CA13" s="3" t="s">
        <v>8</v>
      </c>
    </row>
    <row r="14" spans="2:79" x14ac:dyDescent="0.3">
      <c r="B14" s="28" t="s">
        <v>27</v>
      </c>
      <c r="C14" s="117">
        <v>10</v>
      </c>
      <c r="D14" s="27" t="s">
        <v>26</v>
      </c>
      <c r="I14" s="29"/>
      <c r="BY14" s="3">
        <v>1</v>
      </c>
      <c r="BZ14" s="10">
        <v>0</v>
      </c>
      <c r="CA14" s="10">
        <f t="shared" ref="CA14:CA22" si="0">100%-BZ14</f>
        <v>1</v>
      </c>
    </row>
    <row r="15" spans="2:79" x14ac:dyDescent="0.3">
      <c r="B15" s="28" t="s">
        <v>25</v>
      </c>
      <c r="C15" s="117">
        <v>1.1140000000000001</v>
      </c>
      <c r="D15" s="27" t="s">
        <v>24</v>
      </c>
      <c r="BY15" s="3">
        <v>2</v>
      </c>
      <c r="BZ15" s="10">
        <v>0.1</v>
      </c>
      <c r="CA15" s="10">
        <f t="shared" si="0"/>
        <v>0.9</v>
      </c>
    </row>
    <row r="16" spans="2:79" x14ac:dyDescent="0.3">
      <c r="B16" s="28" t="s">
        <v>23</v>
      </c>
      <c r="C16" s="118">
        <v>0.7</v>
      </c>
      <c r="D16" s="27" t="s">
        <v>22</v>
      </c>
      <c r="BY16" s="3">
        <v>4</v>
      </c>
      <c r="BZ16" s="10">
        <v>0.3</v>
      </c>
      <c r="CA16" s="10">
        <f t="shared" si="0"/>
        <v>0.7</v>
      </c>
    </row>
    <row r="17" spans="2:81" x14ac:dyDescent="0.3">
      <c r="BY17" s="3">
        <v>6</v>
      </c>
      <c r="BZ17" s="10" t="e">
        <f>#REF!+5%</f>
        <v>#REF!</v>
      </c>
      <c r="CA17" s="10" t="e">
        <f t="shared" si="0"/>
        <v>#REF!</v>
      </c>
    </row>
    <row r="18" spans="2:81" x14ac:dyDescent="0.3">
      <c r="BY18" s="3">
        <v>7</v>
      </c>
      <c r="BZ18" s="10" t="e">
        <f>BZ17+5%</f>
        <v>#REF!</v>
      </c>
      <c r="CA18" s="10" t="e">
        <f t="shared" si="0"/>
        <v>#REF!</v>
      </c>
    </row>
    <row r="19" spans="2:81" x14ac:dyDescent="0.3">
      <c r="B19" s="26" t="s">
        <v>21</v>
      </c>
      <c r="C19" s="26" t="s">
        <v>20</v>
      </c>
      <c r="D19" s="26" t="s">
        <v>19</v>
      </c>
      <c r="E19" s="25" t="s">
        <v>18</v>
      </c>
      <c r="H19" s="24"/>
      <c r="BY19" s="3">
        <v>8</v>
      </c>
      <c r="BZ19" s="10" t="e">
        <f>BZ18+5%</f>
        <v>#REF!</v>
      </c>
      <c r="CA19" s="10" t="e">
        <f t="shared" si="0"/>
        <v>#REF!</v>
      </c>
    </row>
    <row r="20" spans="2:81" s="17" customFormat="1" ht="13.5" thickBot="1" x14ac:dyDescent="0.35">
      <c r="B20" s="23" t="s">
        <v>17</v>
      </c>
      <c r="C20" s="23" t="s">
        <v>16</v>
      </c>
      <c r="D20" s="23" t="s">
        <v>15</v>
      </c>
      <c r="E20" s="22" t="s">
        <v>14</v>
      </c>
      <c r="F20" s="21" t="s">
        <v>13</v>
      </c>
      <c r="G20" s="21" t="s">
        <v>12</v>
      </c>
      <c r="H20" s="21" t="s">
        <v>11</v>
      </c>
      <c r="K20" s="20"/>
      <c r="L20" s="20"/>
      <c r="M20" s="19"/>
      <c r="BY20" s="17">
        <v>9</v>
      </c>
      <c r="BZ20" s="18" t="e">
        <f>BZ19+5%</f>
        <v>#REF!</v>
      </c>
      <c r="CA20" s="18" t="e">
        <f t="shared" si="0"/>
        <v>#REF!</v>
      </c>
    </row>
    <row r="21" spans="2:81" x14ac:dyDescent="0.3">
      <c r="B21" s="119" t="e" vm="1">
        <v>#VALUE!</v>
      </c>
      <c r="C21" s="119" t="s">
        <v>10</v>
      </c>
      <c r="D21" s="119" t="s">
        <v>7</v>
      </c>
      <c r="E21" s="120">
        <v>4772.96</v>
      </c>
      <c r="F21" s="16" t="str">
        <f>_FV(B21,"Currency")</f>
        <v>EUR</v>
      </c>
      <c r="G21" s="15">
        <f>IF(F21="EUR",E21,E21/$C$15)</f>
        <v>4772.96</v>
      </c>
      <c r="H21" s="14">
        <f>_FV(B21,"Previous close",TRUE)</f>
        <v>46.14</v>
      </c>
      <c r="BY21" s="3">
        <v>10</v>
      </c>
      <c r="BZ21" s="10" t="e">
        <f>BZ20+5%</f>
        <v>#REF!</v>
      </c>
      <c r="CA21" s="10" t="e">
        <f t="shared" si="0"/>
        <v>#REF!</v>
      </c>
    </row>
    <row r="22" spans="2:81" x14ac:dyDescent="0.3">
      <c r="B22" s="121" t="e" vm="2">
        <v>#VALUE!</v>
      </c>
      <c r="C22" s="119" t="s">
        <v>10</v>
      </c>
      <c r="D22" s="119" t="s">
        <v>9</v>
      </c>
      <c r="E22" s="122">
        <v>539.1</v>
      </c>
      <c r="F22" s="13" t="str">
        <f>_FV(B22,"Currency")</f>
        <v>EUR</v>
      </c>
      <c r="G22" s="12">
        <f>IF(F22="EUR",E22,E22/$C$15)</f>
        <v>539.1</v>
      </c>
      <c r="H22" s="11">
        <f>_FV(B22,"Previous close",TRUE)</f>
        <v>45.58</v>
      </c>
      <c r="BY22" s="3">
        <v>11</v>
      </c>
      <c r="BZ22" s="10" t="e">
        <f>BZ21+2%</f>
        <v>#REF!</v>
      </c>
      <c r="CA22" s="10" t="e">
        <f t="shared" si="0"/>
        <v>#REF!</v>
      </c>
    </row>
    <row r="23" spans="2:81" x14ac:dyDescent="0.3">
      <c r="B23" s="121" t="e" vm="3">
        <v>#VALUE!</v>
      </c>
      <c r="C23" s="119" t="s">
        <v>10</v>
      </c>
      <c r="D23" s="119" t="s">
        <v>9</v>
      </c>
      <c r="E23" s="122">
        <v>1444.5</v>
      </c>
      <c r="F23" s="13" t="str">
        <f>_FV(B23,"Currency")</f>
        <v>EUR</v>
      </c>
      <c r="G23" s="12">
        <f>IF(F23="EUR",E23,E23/$C$15)</f>
        <v>1444.5</v>
      </c>
      <c r="H23" s="11">
        <f>_FV(B23,"Previous close",TRUE)</f>
        <v>42.034999999999997</v>
      </c>
      <c r="CA23" s="3">
        <v>12</v>
      </c>
      <c r="CB23" s="10" t="e">
        <f>BZ22+2%</f>
        <v>#REF!</v>
      </c>
      <c r="CC23" s="10" t="e">
        <f t="shared" ref="CC23:CC35" si="1">100%-CB23</f>
        <v>#REF!</v>
      </c>
    </row>
    <row r="24" spans="2:81" x14ac:dyDescent="0.3">
      <c r="B24" s="121" t="e" vm="4">
        <v>#VALUE!</v>
      </c>
      <c r="C24" s="119" t="s">
        <v>8</v>
      </c>
      <c r="D24" s="119" t="s">
        <v>7</v>
      </c>
      <c r="E24" s="122">
        <v>5198.58</v>
      </c>
      <c r="F24" s="13" t="str">
        <f>_FV(B24,"Currency")</f>
        <v>USD</v>
      </c>
      <c r="G24" s="12">
        <f>IF(F24="EUR",E24,E24/$C$15)</f>
        <v>4666.5888689407539</v>
      </c>
      <c r="H24" s="11">
        <f>_FV(B24,"Previous close",TRUE)</f>
        <v>166.86</v>
      </c>
      <c r="CA24" s="3">
        <v>13</v>
      </c>
      <c r="CB24" s="10" t="e">
        <f t="shared" ref="CB24:CB31" si="2">CB23+2%</f>
        <v>#REF!</v>
      </c>
      <c r="CC24" s="10" t="e">
        <f t="shared" si="1"/>
        <v>#REF!</v>
      </c>
    </row>
    <row r="25" spans="2:81" x14ac:dyDescent="0.3">
      <c r="CA25" s="3">
        <v>14</v>
      </c>
      <c r="CB25" s="10" t="e">
        <f t="shared" si="2"/>
        <v>#REF!</v>
      </c>
      <c r="CC25" s="10" t="e">
        <f t="shared" si="1"/>
        <v>#REF!</v>
      </c>
    </row>
    <row r="26" spans="2:81" x14ac:dyDescent="0.3">
      <c r="CA26" s="3">
        <v>15</v>
      </c>
      <c r="CB26" s="10" t="e">
        <f t="shared" si="2"/>
        <v>#REF!</v>
      </c>
      <c r="CC26" s="10" t="e">
        <f t="shared" si="1"/>
        <v>#REF!</v>
      </c>
    </row>
    <row r="27" spans="2:81" x14ac:dyDescent="0.3">
      <c r="CA27" s="3">
        <v>16</v>
      </c>
      <c r="CB27" s="10" t="e">
        <f t="shared" si="2"/>
        <v>#REF!</v>
      </c>
      <c r="CC27" s="10" t="e">
        <f t="shared" si="1"/>
        <v>#REF!</v>
      </c>
    </row>
    <row r="28" spans="2:81" x14ac:dyDescent="0.3">
      <c r="CA28" s="3">
        <v>17</v>
      </c>
      <c r="CB28" s="10" t="e">
        <f t="shared" si="2"/>
        <v>#REF!</v>
      </c>
      <c r="CC28" s="10" t="e">
        <f t="shared" si="1"/>
        <v>#REF!</v>
      </c>
    </row>
    <row r="29" spans="2:81" x14ac:dyDescent="0.3">
      <c r="CA29" s="3">
        <v>18</v>
      </c>
      <c r="CB29" s="10" t="e">
        <f t="shared" si="2"/>
        <v>#REF!</v>
      </c>
      <c r="CC29" s="10" t="e">
        <f t="shared" si="1"/>
        <v>#REF!</v>
      </c>
    </row>
    <row r="30" spans="2:81" x14ac:dyDescent="0.3">
      <c r="CA30" s="3">
        <v>19</v>
      </c>
      <c r="CB30" s="10" t="e">
        <f t="shared" si="2"/>
        <v>#REF!</v>
      </c>
      <c r="CC30" s="10" t="e">
        <f t="shared" si="1"/>
        <v>#REF!</v>
      </c>
    </row>
    <row r="31" spans="2:81" x14ac:dyDescent="0.3">
      <c r="CA31" s="3">
        <v>20</v>
      </c>
      <c r="CB31" s="10" t="e">
        <f t="shared" si="2"/>
        <v>#REF!</v>
      </c>
      <c r="CC31" s="10" t="e">
        <f t="shared" si="1"/>
        <v>#REF!</v>
      </c>
    </row>
    <row r="32" spans="2:81" x14ac:dyDescent="0.3">
      <c r="CA32" s="3">
        <v>21</v>
      </c>
      <c r="CB32" s="10" t="e">
        <f>CB31+1%</f>
        <v>#REF!</v>
      </c>
      <c r="CC32" s="10" t="e">
        <f t="shared" si="1"/>
        <v>#REF!</v>
      </c>
    </row>
    <row r="33" spans="77:81" x14ac:dyDescent="0.3">
      <c r="CA33" s="3">
        <v>22</v>
      </c>
      <c r="CB33" s="10" t="e">
        <f>CB32+1%</f>
        <v>#REF!</v>
      </c>
      <c r="CC33" s="10" t="e">
        <f t="shared" si="1"/>
        <v>#REF!</v>
      </c>
    </row>
    <row r="34" spans="77:81" x14ac:dyDescent="0.3">
      <c r="CA34" s="3">
        <v>23</v>
      </c>
      <c r="CB34" s="10" t="e">
        <f>CB33+1%</f>
        <v>#REF!</v>
      </c>
      <c r="CC34" s="10" t="e">
        <f t="shared" si="1"/>
        <v>#REF!</v>
      </c>
    </row>
    <row r="35" spans="77:81" x14ac:dyDescent="0.3">
      <c r="CA35" s="3">
        <v>24</v>
      </c>
      <c r="CB35" s="10" t="e">
        <f>CB34+1%</f>
        <v>#REF!</v>
      </c>
      <c r="CC35" s="10" t="e">
        <f t="shared" si="1"/>
        <v>#REF!</v>
      </c>
    </row>
    <row r="36" spans="77:81" x14ac:dyDescent="0.3">
      <c r="CB36" s="10"/>
      <c r="CC36" s="10"/>
    </row>
    <row r="37" spans="77:81" x14ac:dyDescent="0.3">
      <c r="BY37" s="3">
        <v>25</v>
      </c>
      <c r="BZ37" s="10" t="e">
        <f>CB35+1%</f>
        <v>#REF!</v>
      </c>
      <c r="CA37" s="10" t="e">
        <f>100%-BZ37</f>
        <v>#REF!</v>
      </c>
    </row>
    <row r="38" spans="77:81" x14ac:dyDescent="0.3">
      <c r="BZ38" s="10"/>
      <c r="CA38" s="10"/>
    </row>
    <row r="39" spans="77:81" x14ac:dyDescent="0.3">
      <c r="BY39" s="3">
        <v>26</v>
      </c>
      <c r="BZ39" s="10" t="e">
        <f>BZ37+1%</f>
        <v>#REF!</v>
      </c>
      <c r="CA39" s="10" t="e">
        <f>100%-BZ39</f>
        <v>#REF!</v>
      </c>
    </row>
    <row r="40" spans="77:81" x14ac:dyDescent="0.3">
      <c r="BZ40" s="10"/>
      <c r="CA40" s="10"/>
    </row>
    <row r="41" spans="77:81" x14ac:dyDescent="0.3">
      <c r="BY41" s="3">
        <v>27</v>
      </c>
      <c r="BZ41" s="10" t="e">
        <f>BZ39+1%</f>
        <v>#REF!</v>
      </c>
      <c r="CA41" s="10" t="e">
        <f>100%-BZ41</f>
        <v>#REF!</v>
      </c>
    </row>
    <row r="42" spans="77:81" x14ac:dyDescent="0.3">
      <c r="BY42" s="3">
        <v>28</v>
      </c>
      <c r="BZ42" s="10" t="e">
        <f>BZ41+1%</f>
        <v>#REF!</v>
      </c>
      <c r="CA42" s="10" t="e">
        <f>100%-BZ42</f>
        <v>#REF!</v>
      </c>
    </row>
    <row r="43" spans="77:81" x14ac:dyDescent="0.3">
      <c r="BY43" s="3">
        <v>29</v>
      </c>
      <c r="BZ43" s="10" t="e">
        <f>BZ42+1%</f>
        <v>#REF!</v>
      </c>
      <c r="CA43" s="10" t="e">
        <f>100%-BZ43</f>
        <v>#REF!</v>
      </c>
    </row>
    <row r="44" spans="77:81" x14ac:dyDescent="0.3">
      <c r="BY44" s="3">
        <v>30</v>
      </c>
      <c r="BZ44" s="10" t="e">
        <f>BZ43+1%</f>
        <v>#REF!</v>
      </c>
      <c r="CA44" s="10" t="e">
        <f>100%-BZ44</f>
        <v>#REF!</v>
      </c>
    </row>
  </sheetData>
  <sheetProtection algorithmName="SHA-512" hashValue="Uz0JniZqRECJ3mxgIiGGdhM4Kl2LbVr8lDoBxWT8YZGL84N7ICeKFoVJTaMdIxnzjZibBqlfLtUrlzgwKOQvkQ==" saltValue="D3N9ZMNO/nR3hxHU3cPtDA==" spinCount="100000" sheet="1" objects="1" scenarios="1"/>
  <mergeCells count="1">
    <mergeCell ref="B7:F8"/>
  </mergeCells>
  <hyperlinks>
    <hyperlink ref="B10" r:id="rId1" xr:uid="{D0CF0BE3-E1E5-43D9-8065-4746C654AF5F}"/>
  </hyperlinks>
  <pageMargins left="0.7" right="0.7" top="0.75" bottom="0.75" header="0.3" footer="0.3"/>
  <pageSetup paperSize="9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043D8D-F3AB-4838-A9C2-C24FC48F3F2E}">
          <x14:formula1>
            <xm:f>'2.KROK - rebalansacia'!$C$14:$D$14</xm:f>
          </x14:formula1>
          <xm:sqref>C21:C24</xm:sqref>
        </x14:dataValidation>
        <x14:dataValidation type="list" allowBlank="1" showInputMessage="1" showErrorMessage="1" xr:uid="{400850AD-354F-4CB6-A8D9-4F8001C8C8EE}">
          <x14:formula1>
            <xm:f>'2.KROK - rebalansacia'!$S$16:$S$17</xm:f>
          </x14:formula1>
          <xm:sqref>D21:D24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21975-2011-474A-8E3B-31CF03A10A20}">
  <dimension ref="A2:AC41"/>
  <sheetViews>
    <sheetView topLeftCell="B10" workbookViewId="0">
      <selection activeCell="H23" sqref="H23"/>
    </sheetView>
  </sheetViews>
  <sheetFormatPr defaultRowHeight="12" x14ac:dyDescent="0.3"/>
  <cols>
    <col min="1" max="1" width="3.54296875" style="38" hidden="1" customWidth="1"/>
    <col min="2" max="2" width="50.08984375" style="37" customWidth="1"/>
    <col min="3" max="5" width="14.54296875" style="36" customWidth="1"/>
    <col min="6" max="6" width="10.36328125" style="36" customWidth="1"/>
    <col min="7" max="7" width="14.54296875" style="36" customWidth="1"/>
    <col min="8" max="8" width="10.6328125" style="36" customWidth="1"/>
    <col min="9" max="9" width="12.26953125" style="36" customWidth="1"/>
    <col min="10" max="10" width="2.1796875" style="36" customWidth="1"/>
    <col min="11" max="11" width="28.08984375" style="35" customWidth="1"/>
    <col min="12" max="16384" width="8.7265625" style="35"/>
  </cols>
  <sheetData>
    <row r="2" spans="1:29" ht="14.5" x14ac:dyDescent="0.3">
      <c r="B2" s="7" t="s">
        <v>6</v>
      </c>
      <c r="C2" s="3"/>
      <c r="D2" s="3"/>
      <c r="E2" s="4"/>
      <c r="F2" s="3"/>
    </row>
    <row r="3" spans="1:29" ht="14.5" x14ac:dyDescent="0.3">
      <c r="B3" s="6" t="s">
        <v>5</v>
      </c>
      <c r="C3" s="3"/>
      <c r="D3" s="3"/>
      <c r="E3" s="4"/>
      <c r="F3" s="3"/>
    </row>
    <row r="4" spans="1:29" ht="13" x14ac:dyDescent="0.3">
      <c r="B4" s="5" t="s">
        <v>4</v>
      </c>
      <c r="C4" s="3"/>
      <c r="D4" s="3"/>
      <c r="E4" s="4"/>
      <c r="F4" s="3"/>
    </row>
    <row r="5" spans="1:29" ht="13" x14ac:dyDescent="0.3">
      <c r="B5" s="5" t="s">
        <v>3</v>
      </c>
      <c r="C5" s="3"/>
      <c r="D5" s="3"/>
      <c r="E5" s="4"/>
      <c r="F5" s="3"/>
    </row>
    <row r="6" spans="1:29" ht="13" x14ac:dyDescent="0.3">
      <c r="B6" s="3"/>
      <c r="C6" s="3"/>
      <c r="D6" s="3"/>
      <c r="E6" s="4"/>
      <c r="F6" s="3"/>
    </row>
    <row r="7" spans="1:29" x14ac:dyDescent="0.3">
      <c r="B7" s="135" t="s">
        <v>2</v>
      </c>
      <c r="C7" s="136"/>
      <c r="D7" s="136"/>
      <c r="E7" s="136"/>
      <c r="F7" s="136"/>
    </row>
    <row r="8" spans="1:29" x14ac:dyDescent="0.3">
      <c r="B8" s="136"/>
      <c r="C8" s="136"/>
      <c r="D8" s="136"/>
      <c r="E8" s="136"/>
      <c r="F8" s="136"/>
    </row>
    <row r="14" spans="1:29" s="73" customFormat="1" ht="12.5" thickBot="1" x14ac:dyDescent="0.35">
      <c r="A14" s="76"/>
      <c r="B14" s="75"/>
      <c r="C14" s="49" t="s">
        <v>10</v>
      </c>
      <c r="D14" s="49" t="s">
        <v>8</v>
      </c>
      <c r="E14" s="49" t="s">
        <v>52</v>
      </c>
      <c r="F14" s="47"/>
      <c r="G14" s="47"/>
      <c r="H14" s="47"/>
      <c r="I14" s="47"/>
      <c r="J14" s="47"/>
      <c r="S14" s="73" t="s">
        <v>10</v>
      </c>
      <c r="T14" s="74">
        <f>C18-10%</f>
        <v>0.49147964169239822</v>
      </c>
      <c r="U14" s="73" t="s">
        <v>48</v>
      </c>
      <c r="V14" s="73" t="s">
        <v>51</v>
      </c>
      <c r="W14" s="73" t="s">
        <v>50</v>
      </c>
      <c r="X14" s="73" t="s">
        <v>8</v>
      </c>
      <c r="Y14" s="73" t="s">
        <v>49</v>
      </c>
      <c r="Z14" s="73" t="s">
        <v>48</v>
      </c>
      <c r="AC14" s="73" t="s">
        <v>47</v>
      </c>
    </row>
    <row r="15" spans="1:29" x14ac:dyDescent="0.3">
      <c r="B15" s="46" t="s">
        <v>46</v>
      </c>
      <c r="C15" s="72">
        <f>C16+(C17*'1.KROK - vstupné údaje'!$C$15)</f>
        <v>6756.56</v>
      </c>
      <c r="D15" s="72">
        <f>D16+(D17/'1.KROK - vstupné údaje'!$C$15)</f>
        <v>4666.5888689407539</v>
      </c>
      <c r="E15" s="72">
        <f>SUM(C15:D15)</f>
        <v>11423.148868940754</v>
      </c>
      <c r="F15" s="57"/>
      <c r="G15" s="57"/>
      <c r="H15" s="57"/>
      <c r="I15" s="57"/>
      <c r="J15" s="57"/>
      <c r="K15" s="56"/>
      <c r="S15" s="35" t="s">
        <v>8</v>
      </c>
      <c r="T15" s="43">
        <f>D18-10%</f>
        <v>0.30852035830760183</v>
      </c>
      <c r="U15" s="35">
        <f t="shared" ref="U15:U33" si="0">IF(W15&gt;1%,1,0)</f>
        <v>0</v>
      </c>
      <c r="V15" s="43">
        <v>0</v>
      </c>
      <c r="W15" s="43">
        <f>IF($T$14&lt;10%,T14,0)</f>
        <v>0</v>
      </c>
      <c r="X15" s="43">
        <f t="shared" ref="X15:X33" si="1">V15</f>
        <v>0</v>
      </c>
      <c r="Y15" s="43">
        <f>IF($T$15&lt;10%,X14,0)</f>
        <v>0</v>
      </c>
      <c r="Z15" s="35">
        <f t="shared" ref="Z15:Z33" si="2">IF(Y15&gt;1%,1,0)</f>
        <v>0</v>
      </c>
      <c r="AA15" s="43">
        <f t="shared" ref="AA15:AA33" si="3">X15</f>
        <v>0</v>
      </c>
      <c r="AC15" s="35" t="s">
        <v>45</v>
      </c>
    </row>
    <row r="16" spans="1:29" s="34" customFormat="1" ht="10.5" x14ac:dyDescent="0.25">
      <c r="A16" s="38" t="s">
        <v>44</v>
      </c>
      <c r="B16" s="70" t="s">
        <v>43</v>
      </c>
      <c r="C16" s="71">
        <f>SUMIFS('1.KROK - vstupné údaje'!$E$21:$E$1048576,'1.KROK - vstupné údaje'!$C$21:$C$1048576,$C$14,'1.KROK - vstupné údaje'!$F$21:$F$1048576,A$16)</f>
        <v>6756.56</v>
      </c>
      <c r="D16" s="71">
        <f>SUMIFS('1.KROK - vstupné údaje'!$E$21:$E$1048576,'1.KROK - vstupné údaje'!$C$21:$C$1048576,$D$14,'1.KROK - vstupné údaje'!$F$21:$F$1048576,A$16)</f>
        <v>0</v>
      </c>
      <c r="E16" s="71">
        <f>SUM(C16:D16)</f>
        <v>6756.56</v>
      </c>
      <c r="F16" s="67"/>
      <c r="G16" s="67"/>
      <c r="H16" s="67"/>
      <c r="I16" s="67"/>
      <c r="J16" s="67"/>
      <c r="S16" s="34" t="s">
        <v>7</v>
      </c>
      <c r="U16" s="34">
        <f t="shared" si="0"/>
        <v>0</v>
      </c>
      <c r="V16" s="66">
        <v>0.1</v>
      </c>
      <c r="W16" s="66">
        <f>IF($T$14&lt;20%,$T$14-W15,0)</f>
        <v>0</v>
      </c>
      <c r="X16" s="66">
        <f t="shared" si="1"/>
        <v>0.1</v>
      </c>
      <c r="Y16" s="66">
        <f>IF($T$15&lt;20%,$T$15-Y15,0)</f>
        <v>0</v>
      </c>
      <c r="Z16" s="34">
        <f t="shared" si="2"/>
        <v>0</v>
      </c>
      <c r="AA16" s="66">
        <f t="shared" si="3"/>
        <v>0.1</v>
      </c>
    </row>
    <row r="17" spans="1:27" s="34" customFormat="1" ht="10.5" x14ac:dyDescent="0.25">
      <c r="A17" s="38" t="s">
        <v>42</v>
      </c>
      <c r="B17" s="70" t="s">
        <v>41</v>
      </c>
      <c r="C17" s="69">
        <f>SUMIFS('1.KROK - vstupné údaje'!$E$21:$E$1048576,'1.KROK - vstupné údaje'!$C$21:$C$1048576,$C$14,'1.KROK - vstupné údaje'!$F$21:$F$1048576,A$17)</f>
        <v>0</v>
      </c>
      <c r="D17" s="69">
        <f>SUMIFS('1.KROK - vstupné údaje'!$E$21:$E$1048576,'1.KROK - vstupné údaje'!$C$21:$C$1048576,$D$14,'1.KROK - vstupné údaje'!$F$21:$F$1048576,A$17)</f>
        <v>5198.58</v>
      </c>
      <c r="E17" s="69">
        <f>SUM(C17:D17)</f>
        <v>5198.58</v>
      </c>
      <c r="F17" s="68"/>
      <c r="G17" s="68"/>
      <c r="H17" s="68"/>
      <c r="I17" s="67"/>
      <c r="J17" s="67"/>
      <c r="S17" s="34" t="s">
        <v>9</v>
      </c>
      <c r="U17" s="34">
        <f t="shared" si="0"/>
        <v>0</v>
      </c>
      <c r="V17" s="66">
        <v>0.2</v>
      </c>
      <c r="W17" s="66">
        <f>IF($T$14&lt;30%,$T$14-W16-W15,0)</f>
        <v>0</v>
      </c>
      <c r="X17" s="66">
        <f t="shared" si="1"/>
        <v>0.2</v>
      </c>
      <c r="Y17" s="66">
        <f>IF($T$15&lt;30%,$T$15-Y16-Y15,0)</f>
        <v>0</v>
      </c>
      <c r="Z17" s="34">
        <f t="shared" si="2"/>
        <v>0</v>
      </c>
      <c r="AA17" s="66">
        <f t="shared" si="3"/>
        <v>0.2</v>
      </c>
    </row>
    <row r="18" spans="1:27" x14ac:dyDescent="0.3">
      <c r="B18" s="42" t="s">
        <v>40</v>
      </c>
      <c r="C18" s="61">
        <f>C15/$E$15</f>
        <v>0.59147964169239819</v>
      </c>
      <c r="D18" s="61">
        <f>D15/$E$15</f>
        <v>0.40852035830760186</v>
      </c>
      <c r="E18" s="61"/>
      <c r="S18" s="35" t="s">
        <v>62</v>
      </c>
      <c r="U18" s="35">
        <f t="shared" si="0"/>
        <v>0</v>
      </c>
      <c r="V18" s="43">
        <v>0.3</v>
      </c>
      <c r="W18" s="43">
        <f>IF($T$14&lt;40%,$T$14-W17-W16-W15,0)</f>
        <v>0</v>
      </c>
      <c r="X18" s="43">
        <f t="shared" si="1"/>
        <v>0.3</v>
      </c>
      <c r="Y18" s="43">
        <f>IF($T$15&lt;40%,$T$15-Y17-Y16-Y15,0)</f>
        <v>0.30852035830760183</v>
      </c>
      <c r="Z18" s="35">
        <f t="shared" si="2"/>
        <v>1</v>
      </c>
      <c r="AA18" s="43">
        <f t="shared" si="3"/>
        <v>0.3</v>
      </c>
    </row>
    <row r="19" spans="1:27" x14ac:dyDescent="0.3">
      <c r="B19" s="42" t="s">
        <v>39</v>
      </c>
      <c r="C19" s="61">
        <f>'1.KROK - vstupné údaje'!C16</f>
        <v>0.7</v>
      </c>
      <c r="D19" s="61">
        <f>100%-C19</f>
        <v>0.30000000000000004</v>
      </c>
      <c r="E19" s="61"/>
      <c r="I19" s="57"/>
      <c r="J19" s="57"/>
      <c r="K19" s="56"/>
      <c r="L19" s="43"/>
      <c r="M19" s="55"/>
      <c r="N19" s="55"/>
      <c r="S19" s="35" t="s">
        <v>63</v>
      </c>
      <c r="U19" s="35">
        <f t="shared" si="0"/>
        <v>0</v>
      </c>
      <c r="V19" s="43">
        <v>0.35</v>
      </c>
      <c r="W19" s="43">
        <f>IF($T$14&lt;45%,$T$14-W18-W17-W16-W15,0)</f>
        <v>0</v>
      </c>
      <c r="X19" s="43">
        <f t="shared" si="1"/>
        <v>0.35</v>
      </c>
      <c r="Y19" s="43">
        <f>IF($T$15&lt;45%,$T$15-Y18-Y17-Y16-Y15,0)</f>
        <v>0</v>
      </c>
      <c r="Z19" s="35">
        <f t="shared" si="2"/>
        <v>0</v>
      </c>
      <c r="AA19" s="43">
        <f t="shared" si="3"/>
        <v>0.35</v>
      </c>
    </row>
    <row r="20" spans="1:27" x14ac:dyDescent="0.3">
      <c r="B20" s="63" t="s">
        <v>60</v>
      </c>
      <c r="C20" s="62">
        <f>((E15*C19)-C15)+('1.KROK - vstupné údaje'!C13*'2.KROK - rebalansacia'!C19)</f>
        <v>1659.6442082585272</v>
      </c>
      <c r="D20" s="62">
        <f>((E15*D19)-D15)+('1.KROK - vstupné údaje'!C13*'2.KROK - rebalansacia'!D19)</f>
        <v>-1059.6442082585272</v>
      </c>
      <c r="E20" s="65">
        <f>SUM(C20:D20)</f>
        <v>600</v>
      </c>
      <c r="I20" s="57"/>
      <c r="J20" s="57"/>
      <c r="K20" s="56"/>
      <c r="L20" s="43"/>
      <c r="M20" s="55"/>
      <c r="N20" s="55"/>
      <c r="U20" s="35">
        <f t="shared" si="0"/>
        <v>1</v>
      </c>
      <c r="V20" s="43">
        <v>0.4</v>
      </c>
      <c r="W20" s="43">
        <f>IF($T$14&lt;55%,$T$14-W19-W18-W17-W16-W15,0)</f>
        <v>0.49147964169239822</v>
      </c>
      <c r="X20" s="43">
        <f t="shared" si="1"/>
        <v>0.4</v>
      </c>
      <c r="Y20" s="43">
        <f>IF($T$15&lt;55%,$T$15-Y19-Y18-Y17-Y16-Y15,0)</f>
        <v>0</v>
      </c>
      <c r="Z20" s="35">
        <f t="shared" si="2"/>
        <v>0</v>
      </c>
      <c r="AA20" s="43">
        <f t="shared" si="3"/>
        <v>0.4</v>
      </c>
    </row>
    <row r="21" spans="1:27" hidden="1" x14ac:dyDescent="0.3">
      <c r="B21" s="42"/>
      <c r="C21" s="64">
        <f>IF('#akcie'!E1&lt;'1.KROK - vstupné údaje'!C13,'#akcie'!E1+(('1.KROK - vstupné údaje'!C13-'#akcie'!E1)*'2.KROK - rebalansacia'!C19),'1.KROK - vstupné údaje'!C13)</f>
        <v>600</v>
      </c>
      <c r="D21" s="64">
        <f>IF('#dlhopisy'!E1&lt;'1.KROK - vstupné údaje'!C13,'#dlhopisy'!E1+(('1.KROK - vstupné údaje'!C13-'#dlhopisy'!E1)*'2.KROK - rebalansacia'!D19),'1.KROK - vstupné údaje'!C13-C21)</f>
        <v>-1986.0243499653664</v>
      </c>
      <c r="E21" s="41"/>
      <c r="I21" s="57"/>
      <c r="J21" s="57"/>
      <c r="K21" s="56"/>
      <c r="L21" s="43"/>
      <c r="M21" s="55"/>
      <c r="N21" s="55"/>
      <c r="U21" s="35">
        <f t="shared" si="0"/>
        <v>0</v>
      </c>
      <c r="V21" s="43">
        <v>0.45</v>
      </c>
      <c r="W21" s="43">
        <f>IF($T$14&lt;55%,$T$14-W20-W19-W18-W17-W16-W15,0)</f>
        <v>0</v>
      </c>
      <c r="X21" s="43">
        <f t="shared" si="1"/>
        <v>0.45</v>
      </c>
      <c r="Y21" s="43">
        <f>IF($T$15&lt;55%,$T$15-Y20-Y19-Y18-Y17-Y16-Y15,0)</f>
        <v>0</v>
      </c>
      <c r="Z21" s="35">
        <f t="shared" si="2"/>
        <v>0</v>
      </c>
      <c r="AA21" s="43">
        <f t="shared" si="3"/>
        <v>0.45</v>
      </c>
    </row>
    <row r="22" spans="1:27" x14ac:dyDescent="0.3">
      <c r="B22" s="42" t="s">
        <v>59</v>
      </c>
      <c r="C22" s="61">
        <f>(C20+C15)/(E15+'1.KROK - vstupné údaje'!C13)</f>
        <v>0.70000000000000007</v>
      </c>
      <c r="D22" s="61">
        <f>(D20+D15)/(E15+'1.KROK - vstupné údaje'!C13)</f>
        <v>0.30000000000000004</v>
      </c>
      <c r="E22" s="61"/>
      <c r="I22" s="57"/>
      <c r="J22" s="57"/>
      <c r="K22" s="56"/>
      <c r="L22" s="43"/>
      <c r="M22" s="55"/>
      <c r="N22" s="55"/>
      <c r="V22" s="43"/>
      <c r="W22" s="43"/>
      <c r="X22" s="43"/>
      <c r="Y22" s="43"/>
      <c r="AA22" s="43"/>
    </row>
    <row r="23" spans="1:27" x14ac:dyDescent="0.3">
      <c r="B23" s="63" t="s">
        <v>67</v>
      </c>
      <c r="C23" s="62">
        <f>IF(C21&gt;0,C21,0)</f>
        <v>600</v>
      </c>
      <c r="D23" s="62">
        <f>IF(D21&gt;0,D21,0)</f>
        <v>0</v>
      </c>
      <c r="E23" s="62">
        <f>SUM(C23:D23)</f>
        <v>600</v>
      </c>
      <c r="I23" s="57"/>
      <c r="J23" s="57"/>
      <c r="K23" s="56"/>
      <c r="L23" s="43"/>
      <c r="M23" s="55"/>
      <c r="N23" s="55"/>
      <c r="U23" s="35">
        <f t="shared" si="0"/>
        <v>0</v>
      </c>
      <c r="V23" s="43">
        <v>0.5</v>
      </c>
      <c r="W23" s="43">
        <f>IF($T$14&lt;60%,$T$14-W21-W20-W19-W18-W17-W16-W15,0)</f>
        <v>0</v>
      </c>
      <c r="X23" s="43">
        <f t="shared" si="1"/>
        <v>0.5</v>
      </c>
      <c r="Y23" s="43">
        <f>IF($T$15&lt;60%,$T$15-Y21-Y20-Y19-Y18-Y17-Y16-Y15,0)</f>
        <v>0</v>
      </c>
      <c r="Z23" s="35">
        <f t="shared" si="2"/>
        <v>0</v>
      </c>
      <c r="AA23" s="43">
        <f t="shared" si="3"/>
        <v>0.5</v>
      </c>
    </row>
    <row r="24" spans="1:27" x14ac:dyDescent="0.3">
      <c r="B24" s="42" t="s">
        <v>58</v>
      </c>
      <c r="C24" s="61">
        <f>(C21+C15)/('1.KROK - vstupné údaje'!C13+E15)</f>
        <v>0.61186633220554287</v>
      </c>
      <c r="D24" s="61">
        <f>(D23+D15)/('1.KROK - vstupné údaje'!C13+E15)</f>
        <v>0.38813366779445713</v>
      </c>
      <c r="E24" s="61">
        <f>SUM(C24:D24)</f>
        <v>1</v>
      </c>
      <c r="I24" s="57"/>
      <c r="J24" s="57"/>
      <c r="K24" s="56"/>
      <c r="L24" s="43"/>
      <c r="M24" s="55"/>
      <c r="N24" s="55"/>
      <c r="U24" s="35">
        <f t="shared" si="0"/>
        <v>0</v>
      </c>
      <c r="V24" s="43">
        <v>0.55000000000000004</v>
      </c>
      <c r="W24" s="43">
        <f>IF($T$14&lt;65%,$T$14-W23-W21-W20-W19-W18-W17-W16-W15,0)</f>
        <v>0</v>
      </c>
      <c r="X24" s="43">
        <f t="shared" si="1"/>
        <v>0.55000000000000004</v>
      </c>
      <c r="Y24" s="43">
        <f>IF($T$15&lt;65%,$T$15-Y23-Y21-Y20-Y19-Y18-Y17-Y16-Y15,0)</f>
        <v>0</v>
      </c>
      <c r="Z24" s="35">
        <f t="shared" si="2"/>
        <v>0</v>
      </c>
      <c r="AA24" s="43">
        <f t="shared" si="3"/>
        <v>0.55000000000000004</v>
      </c>
    </row>
    <row r="25" spans="1:27" x14ac:dyDescent="0.3">
      <c r="B25" s="60" t="s">
        <v>38</v>
      </c>
      <c r="C25" s="59"/>
      <c r="D25" s="59"/>
      <c r="E25" s="58">
        <f>100%-(C24+D24)</f>
        <v>0</v>
      </c>
      <c r="I25" s="57"/>
      <c r="J25" s="57"/>
      <c r="K25" s="56"/>
      <c r="L25" s="43"/>
      <c r="M25" s="55"/>
      <c r="N25" s="55"/>
      <c r="U25" s="35">
        <f t="shared" si="0"/>
        <v>0</v>
      </c>
      <c r="V25" s="43">
        <v>0.6</v>
      </c>
      <c r="W25" s="43">
        <f>IF($T$14&lt;70%,$T$14-W24-W23-W21-W20-W19-W18-W17-W16-W15,0)</f>
        <v>0</v>
      </c>
      <c r="X25" s="43">
        <f t="shared" si="1"/>
        <v>0.6</v>
      </c>
      <c r="Y25" s="43">
        <f>IF($T$15&lt;70%,$T$15-Y24-Y23-Y21-Y20-Y19-Y18-Y17-Y16-Y15,0)</f>
        <v>0</v>
      </c>
      <c r="Z25" s="35">
        <f t="shared" si="2"/>
        <v>0</v>
      </c>
      <c r="AA25" s="43">
        <f t="shared" si="3"/>
        <v>0.6</v>
      </c>
    </row>
    <row r="26" spans="1:27" x14ac:dyDescent="0.3">
      <c r="B26" s="60" t="s">
        <v>57</v>
      </c>
      <c r="C26" s="54"/>
      <c r="D26" s="54"/>
      <c r="E26" s="53">
        <f>IF(E25&gt;6.99%,AC15,IF(E25=0,,IF(E25&lt;7%,AC14)))</f>
        <v>0</v>
      </c>
      <c r="U26" s="35">
        <f t="shared" si="0"/>
        <v>0</v>
      </c>
      <c r="V26" s="43">
        <v>0.65</v>
      </c>
      <c r="W26" s="43">
        <f>IF($T$14&lt;75%,$T$14-W25-W24-W23-W21-W20-W19-W18-W17-W16-W15,0)</f>
        <v>0</v>
      </c>
      <c r="X26" s="43">
        <f t="shared" si="1"/>
        <v>0.65</v>
      </c>
      <c r="Y26" s="43">
        <f>IF($T$15&lt;75%,$T$15-Y25-Y24-Y23-Y21-Y20-Y19-Y18-Y17-Y16-Y15,0)</f>
        <v>0</v>
      </c>
      <c r="Z26" s="35">
        <f t="shared" si="2"/>
        <v>0</v>
      </c>
      <c r="AA26" s="43">
        <f t="shared" si="3"/>
        <v>0.65</v>
      </c>
    </row>
    <row r="27" spans="1:27" ht="6" customHeight="1" x14ac:dyDescent="0.3">
      <c r="B27" s="123"/>
      <c r="E27" s="124"/>
      <c r="V27" s="43"/>
      <c r="W27" s="43"/>
      <c r="X27" s="43"/>
      <c r="Y27" s="43"/>
      <c r="AA27" s="43"/>
    </row>
    <row r="28" spans="1:27" ht="16" customHeight="1" x14ac:dyDescent="0.3">
      <c r="B28" s="129"/>
      <c r="C28" s="130">
        <f>IF(E29=S18,C23,C20)</f>
        <v>1659.6442082585272</v>
      </c>
      <c r="D28" s="130">
        <f>IF(E29=S18,D23,D20)</f>
        <v>-1059.6442082585272</v>
      </c>
      <c r="E28" s="131"/>
      <c r="F28" s="144"/>
      <c r="G28" s="145"/>
      <c r="H28" s="145"/>
      <c r="I28" s="145"/>
      <c r="J28" s="145"/>
      <c r="K28" s="145"/>
      <c r="V28" s="43"/>
      <c r="W28" s="43"/>
      <c r="X28" s="43"/>
      <c r="Y28" s="43"/>
      <c r="AA28" s="43"/>
    </row>
    <row r="29" spans="1:27" ht="13" customHeight="1" thickBot="1" x14ac:dyDescent="0.35">
      <c r="B29" s="132" t="s">
        <v>61</v>
      </c>
      <c r="C29" s="133"/>
      <c r="D29" s="133"/>
      <c r="E29" s="148" t="s">
        <v>63</v>
      </c>
      <c r="F29" s="145"/>
      <c r="G29" s="145"/>
      <c r="H29" s="145"/>
      <c r="I29" s="145"/>
      <c r="J29" s="145"/>
      <c r="K29" s="145"/>
      <c r="V29" s="43"/>
      <c r="W29" s="43"/>
      <c r="X29" s="43"/>
      <c r="Y29" s="43"/>
      <c r="AA29" s="43"/>
    </row>
    <row r="30" spans="1:27" s="126" customFormat="1" ht="23.5" customHeight="1" x14ac:dyDescent="0.35">
      <c r="A30" s="125"/>
      <c r="B30" s="146" t="s">
        <v>64</v>
      </c>
      <c r="C30" s="147"/>
      <c r="D30" s="147"/>
      <c r="E30" s="147"/>
      <c r="F30" s="128"/>
      <c r="G30" s="128"/>
      <c r="H30" s="128"/>
      <c r="I30" s="128"/>
      <c r="J30" s="128"/>
      <c r="K30" s="128"/>
      <c r="V30" s="127"/>
      <c r="W30" s="127"/>
      <c r="X30" s="127"/>
      <c r="Y30" s="127"/>
      <c r="AA30" s="127"/>
    </row>
    <row r="31" spans="1:27" x14ac:dyDescent="0.3">
      <c r="A31" s="38">
        <f>SUMIFS(G33:G41,C33:C41,C14,D33:D41,"Áno")</f>
        <v>4772.96</v>
      </c>
      <c r="C31" s="52"/>
      <c r="H31" s="51" t="s">
        <v>37</v>
      </c>
      <c r="I31" s="51" t="s">
        <v>66</v>
      </c>
      <c r="J31" s="51"/>
      <c r="U31" s="35">
        <f t="shared" si="0"/>
        <v>0</v>
      </c>
      <c r="V31" s="43">
        <v>0.7</v>
      </c>
      <c r="W31" s="43">
        <f>IF($T$14&lt;80%,$T$14-W26-W25-W24-W23-W21-W20-W19-W18-W17-W16-W15,0)</f>
        <v>0</v>
      </c>
      <c r="X31" s="43">
        <f t="shared" si="1"/>
        <v>0.7</v>
      </c>
      <c r="Y31" s="43">
        <f>IF($T$15&lt;80%,$T$15-Y26-Y25-Y24-Y23-Y21-Y20-Y19-Y18-Y17-Y16-Y15,0)</f>
        <v>0</v>
      </c>
      <c r="Z31" s="35">
        <f t="shared" si="2"/>
        <v>0</v>
      </c>
      <c r="AA31" s="43">
        <f t="shared" si="3"/>
        <v>0.7</v>
      </c>
    </row>
    <row r="32" spans="1:27" ht="12.5" thickBot="1" x14ac:dyDescent="0.35">
      <c r="A32" s="38">
        <f>SUMIFS(G33:G41,C33:C41,D14,D33:D41,"Áno")</f>
        <v>4666.5888689407539</v>
      </c>
      <c r="B32" s="50" t="s">
        <v>17</v>
      </c>
      <c r="C32" s="49" t="s">
        <v>16</v>
      </c>
      <c r="D32" s="49" t="s">
        <v>36</v>
      </c>
      <c r="E32" s="49" t="s">
        <v>14</v>
      </c>
      <c r="F32" s="49" t="s">
        <v>13</v>
      </c>
      <c r="G32" s="49" t="s">
        <v>35</v>
      </c>
      <c r="H32" s="49" t="s">
        <v>11</v>
      </c>
      <c r="I32" s="48" t="s">
        <v>65</v>
      </c>
      <c r="J32" s="47"/>
      <c r="U32" s="35">
        <f t="shared" si="0"/>
        <v>0</v>
      </c>
      <c r="V32" s="43">
        <v>0.8</v>
      </c>
      <c r="W32" s="43">
        <f>IF($T$14&lt;90%,$T$14-W31-W26-W25-W24-W23-W21-W20-W19-W18-W17-W16,0)</f>
        <v>0</v>
      </c>
      <c r="X32" s="43">
        <f t="shared" si="1"/>
        <v>0.8</v>
      </c>
      <c r="Y32" s="43">
        <f>IF($T$15&lt;90%,$T$15-Y31-Y26-Y25-Y24-Y23-Y21-Y20-Y19-Y18-Y17-Y16,0)</f>
        <v>0</v>
      </c>
      <c r="Z32" s="35">
        <f t="shared" si="2"/>
        <v>0</v>
      </c>
      <c r="AA32" s="43">
        <f t="shared" si="3"/>
        <v>0.8</v>
      </c>
    </row>
    <row r="33" spans="1:27" x14ac:dyDescent="0.3">
      <c r="A33" s="38">
        <f t="shared" ref="A33:A41" si="4">IF(D33="Áno",IF(C33=C$14,G33/A$31,G33/D$15),0)</f>
        <v>1</v>
      </c>
      <c r="B33" s="46" t="e" vm="1">
        <f>IF('1.KROK - vstupné údaje'!B21=0,"...",'1.KROK - vstupné údaje'!B21)</f>
        <v>#VALUE!</v>
      </c>
      <c r="C33" s="45" t="str">
        <f>IF('1.KROK - vstupné údaje'!C21=0,"...",'1.KROK - vstupné údaje'!C21)</f>
        <v>Akcie</v>
      </c>
      <c r="D33" s="45" t="str">
        <f>IF('1.KROK - vstupné údaje'!D21=0,"...",'1.KROK - vstupné údaje'!D21)</f>
        <v>Áno</v>
      </c>
      <c r="E33" s="45">
        <f>IF('1.KROK - vstupné údaje'!E21=0,"...",'1.KROK - vstupné údaje'!E21)</f>
        <v>4772.96</v>
      </c>
      <c r="F33" s="45" t="str">
        <f>IF('1.KROK - vstupné údaje'!F21=0,"...",'1.KROK - vstupné údaje'!F21)</f>
        <v>EUR</v>
      </c>
      <c r="G33" s="45">
        <f>IF('1.KROK - vstupné údaje'!G21=0,"...",'1.KROK - vstupné údaje'!G21)</f>
        <v>4772.96</v>
      </c>
      <c r="H33" s="45">
        <f>IF('1.KROK - vstupné údaje'!H21=0,"...",'1.KROK - vstupné údaje'!H21)</f>
        <v>46.14</v>
      </c>
      <c r="I33" s="44">
        <f>IFERROR((IF(C33=$C$14,$C$28*$A33,$D$28*$A33)/H33),"...")</f>
        <v>35.969748770232492</v>
      </c>
      <c r="J33" s="39"/>
      <c r="K33" s="143" t="s">
        <v>34</v>
      </c>
      <c r="U33" s="35">
        <f t="shared" si="0"/>
        <v>0</v>
      </c>
      <c r="V33" s="43">
        <v>0.9</v>
      </c>
      <c r="W33" s="43">
        <f>IF($T$14&lt;95%,$T$14-W32-W31-W26-W25-W24-W23-W21-W20-W19-W18-W17,0)</f>
        <v>0</v>
      </c>
      <c r="X33" s="43">
        <f t="shared" si="1"/>
        <v>0.9</v>
      </c>
      <c r="Y33" s="43">
        <f>IF($T$15&lt;95%,$T$15-Y32-Y31-Y26-Y25-Y24-Y23-Y21-Y20-Y19-Y18-Y17,0)</f>
        <v>0</v>
      </c>
      <c r="Z33" s="35">
        <f t="shared" si="2"/>
        <v>0</v>
      </c>
      <c r="AA33" s="43">
        <f t="shared" si="3"/>
        <v>0.9</v>
      </c>
    </row>
    <row r="34" spans="1:27" x14ac:dyDescent="0.3">
      <c r="A34" s="38">
        <f t="shared" si="4"/>
        <v>0</v>
      </c>
      <c r="B34" s="42" t="e" vm="2">
        <f>IF('1.KROK - vstupné údaje'!B22=0,"...",'1.KROK - vstupné údaje'!B22)</f>
        <v>#VALUE!</v>
      </c>
      <c r="C34" s="41" t="str">
        <f>IF('1.KROK - vstupné údaje'!C22=0,"...",'1.KROK - vstupné údaje'!C22)</f>
        <v>Akcie</v>
      </c>
      <c r="D34" s="41" t="str">
        <f>IF('1.KROK - vstupné údaje'!D22=0,"...",'1.KROK - vstupné údaje'!D22)</f>
        <v>Nie</v>
      </c>
      <c r="E34" s="41">
        <f>IF('1.KROK - vstupné údaje'!E22=0,"...",'1.KROK - vstupné údaje'!E22)</f>
        <v>539.1</v>
      </c>
      <c r="F34" s="41" t="str">
        <f>IF('1.KROK - vstupné údaje'!F22=0,"...",'1.KROK - vstupné údaje'!F22)</f>
        <v>EUR</v>
      </c>
      <c r="G34" s="41">
        <f>IF('1.KROK - vstupné údaje'!G22=0,"...",'1.KROK - vstupné údaje'!G22)</f>
        <v>539.1</v>
      </c>
      <c r="H34" s="41">
        <f>IF('1.KROK - vstupné údaje'!H22=0,"...",'1.KROK - vstupné údaje'!H22)</f>
        <v>45.58</v>
      </c>
      <c r="I34" s="40">
        <f t="shared" ref="I34:I41" si="5">IFERROR((IF(C34=$C$14,$C$28*$A34,$D$28*$A34)/H34),"...")</f>
        <v>0</v>
      </c>
      <c r="J34" s="39"/>
      <c r="K34" s="143"/>
    </row>
    <row r="35" spans="1:27" x14ac:dyDescent="0.3">
      <c r="A35" s="38">
        <f t="shared" si="4"/>
        <v>0</v>
      </c>
      <c r="B35" s="42" t="e" vm="3">
        <f>IF('1.KROK - vstupné údaje'!B23=0,"...",'1.KROK - vstupné údaje'!B23)</f>
        <v>#VALUE!</v>
      </c>
      <c r="C35" s="41" t="str">
        <f>IF('1.KROK - vstupné údaje'!C23=0,"...",'1.KROK - vstupné údaje'!C23)</f>
        <v>Akcie</v>
      </c>
      <c r="D35" s="41" t="str">
        <f>IF('1.KROK - vstupné údaje'!D23=0,"...",'1.KROK - vstupné údaje'!D23)</f>
        <v>Nie</v>
      </c>
      <c r="E35" s="41">
        <f>IF('1.KROK - vstupné údaje'!E23=0,"...",'1.KROK - vstupné údaje'!E23)</f>
        <v>1444.5</v>
      </c>
      <c r="F35" s="41" t="str">
        <f>IF('1.KROK - vstupné údaje'!F23=0,"...",'1.KROK - vstupné údaje'!F23)</f>
        <v>EUR</v>
      </c>
      <c r="G35" s="41">
        <f>IF('1.KROK - vstupné údaje'!G23=0,"...",'1.KROK - vstupné údaje'!G23)</f>
        <v>1444.5</v>
      </c>
      <c r="H35" s="41">
        <f>IF('1.KROK - vstupné údaje'!H23=0,"...",'1.KROK - vstupné údaje'!H23)</f>
        <v>42.034999999999997</v>
      </c>
      <c r="I35" s="40">
        <f t="shared" si="5"/>
        <v>0</v>
      </c>
      <c r="J35" s="39"/>
      <c r="K35" s="143"/>
    </row>
    <row r="36" spans="1:27" x14ac:dyDescent="0.3">
      <c r="A36" s="38">
        <f t="shared" si="4"/>
        <v>1</v>
      </c>
      <c r="B36" s="42" t="e" vm="4">
        <f>IF('1.KROK - vstupné údaje'!B24=0,"...",'1.KROK - vstupné údaje'!B24)</f>
        <v>#VALUE!</v>
      </c>
      <c r="C36" s="41" t="str">
        <f>IF('1.KROK - vstupné údaje'!C24=0,"...",'1.KROK - vstupné údaje'!C24)</f>
        <v>Dlhopisy</v>
      </c>
      <c r="D36" s="41" t="str">
        <f>IF('1.KROK - vstupné údaje'!D24=0,"...",'1.KROK - vstupné údaje'!D24)</f>
        <v>Áno</v>
      </c>
      <c r="E36" s="41">
        <f>IF('1.KROK - vstupné údaje'!E24=0,"...",'1.KROK - vstupné údaje'!E24)</f>
        <v>5198.58</v>
      </c>
      <c r="F36" s="41" t="str">
        <f>IF('1.KROK - vstupné údaje'!F24=0,"...",'1.KROK - vstupné údaje'!F24)</f>
        <v>USD</v>
      </c>
      <c r="G36" s="41">
        <f>IF('1.KROK - vstupné údaje'!G24=0,"...",'1.KROK - vstupné údaje'!G24)</f>
        <v>4666.5888689407539</v>
      </c>
      <c r="H36" s="41">
        <f>IF('1.KROK - vstupné údaje'!H24=0,"...",'1.KROK - vstupné údaje'!H24)</f>
        <v>166.86</v>
      </c>
      <c r="I36" s="40">
        <f t="shared" si="5"/>
        <v>-6.3504986710926952</v>
      </c>
      <c r="J36" s="39"/>
      <c r="K36" s="143"/>
    </row>
    <row r="37" spans="1:27" x14ac:dyDescent="0.3">
      <c r="A37" s="38">
        <f t="shared" si="4"/>
        <v>0</v>
      </c>
      <c r="B37" s="42" t="str">
        <f>IF('1.KROK - vstupné údaje'!B25=0,"...",'1.KROK - vstupné údaje'!B25)</f>
        <v>...</v>
      </c>
      <c r="C37" s="41" t="str">
        <f>IF('1.KROK - vstupné údaje'!C25=0,"...",'1.KROK - vstupné údaje'!C25)</f>
        <v>...</v>
      </c>
      <c r="D37" s="41" t="str">
        <f>IF('1.KROK - vstupné údaje'!D25=0,"...",'1.KROK - vstupné údaje'!D25)</f>
        <v>...</v>
      </c>
      <c r="E37" s="41" t="str">
        <f>IF('1.KROK - vstupné údaje'!E25=0,"...",'1.KROK - vstupné údaje'!E25)</f>
        <v>...</v>
      </c>
      <c r="F37" s="41" t="str">
        <f>IF('1.KROK - vstupné údaje'!F25=0,"...",'1.KROK - vstupné údaje'!F25)</f>
        <v>...</v>
      </c>
      <c r="G37" s="41" t="str">
        <f>IF('1.KROK - vstupné údaje'!G25=0,"...",'1.KROK - vstupné údaje'!G25)</f>
        <v>...</v>
      </c>
      <c r="H37" s="41" t="str">
        <f>IF('1.KROK - vstupné údaje'!H25=0,"...",'1.KROK - vstupné údaje'!H25)</f>
        <v>...</v>
      </c>
      <c r="I37" s="40" t="str">
        <f t="shared" si="5"/>
        <v>...</v>
      </c>
      <c r="J37" s="39"/>
      <c r="K37" s="143"/>
    </row>
    <row r="38" spans="1:27" x14ac:dyDescent="0.3">
      <c r="A38" s="38">
        <f t="shared" si="4"/>
        <v>0</v>
      </c>
      <c r="B38" s="42" t="str">
        <f>IF('1.KROK - vstupné údaje'!B26=0,"...",'1.KROK - vstupné údaje'!B26)</f>
        <v>...</v>
      </c>
      <c r="C38" s="41" t="str">
        <f>IF('1.KROK - vstupné údaje'!H3=0,"...",'1.KROK - vstupné údaje'!H3)</f>
        <v>...</v>
      </c>
      <c r="D38" s="41" t="str">
        <f>IF('1.KROK - vstupné údaje'!I13=0,"...",'1.KROK - vstupné údaje'!I13)</f>
        <v>...</v>
      </c>
      <c r="E38" s="41" t="str">
        <f>IF('1.KROK - vstupné údaje'!E26=0,"...",'1.KROK - vstupné údaje'!E26)</f>
        <v>...</v>
      </c>
      <c r="F38" s="41" t="str">
        <f>IF('1.KROK - vstupné údaje'!F26=0,"...",'1.KROK - vstupné údaje'!F26)</f>
        <v>...</v>
      </c>
      <c r="G38" s="41" t="str">
        <f>IF('1.KROK - vstupné údaje'!G26=0,"...",'1.KROK - vstupné údaje'!G26)</f>
        <v>...</v>
      </c>
      <c r="H38" s="41" t="str">
        <f>IF('1.KROK - vstupné údaje'!H26=0,"...",'1.KROK - vstupné údaje'!H26)</f>
        <v>...</v>
      </c>
      <c r="I38" s="40" t="str">
        <f t="shared" si="5"/>
        <v>...</v>
      </c>
      <c r="J38" s="39"/>
      <c r="K38" s="143"/>
    </row>
    <row r="39" spans="1:27" x14ac:dyDescent="0.3">
      <c r="A39" s="38">
        <f t="shared" si="4"/>
        <v>0</v>
      </c>
      <c r="B39" s="42" t="str">
        <f>IF('1.KROK - vstupné údaje'!B27=0,"...",'1.KROK - vstupné údaje'!B27)</f>
        <v>...</v>
      </c>
      <c r="C39" s="41" t="str">
        <f>IF('1.KROK - vstupné údaje'!H4=0,"...",'1.KROK - vstupné údaje'!H4)</f>
        <v>...</v>
      </c>
      <c r="D39" s="41" t="str">
        <f>IF('1.KROK - vstupné údaje'!I14=0,"...",'1.KROK - vstupné údaje'!I14)</f>
        <v>...</v>
      </c>
      <c r="E39" s="41" t="str">
        <f>IF('1.KROK - vstupné údaje'!E27=0,"...",'1.KROK - vstupné údaje'!E27)</f>
        <v>...</v>
      </c>
      <c r="F39" s="41" t="str">
        <f>IF('1.KROK - vstupné údaje'!F27=0,"...",'1.KROK - vstupné údaje'!F27)</f>
        <v>...</v>
      </c>
      <c r="G39" s="41" t="str">
        <f>IF('1.KROK - vstupné údaje'!G27=0,"...",'1.KROK - vstupné údaje'!G27)</f>
        <v>...</v>
      </c>
      <c r="H39" s="41" t="str">
        <f>IF('1.KROK - vstupné údaje'!H27=0,"...",'1.KROK - vstupné údaje'!H27)</f>
        <v>...</v>
      </c>
      <c r="I39" s="40" t="str">
        <f t="shared" si="5"/>
        <v>...</v>
      </c>
      <c r="J39" s="39"/>
      <c r="K39" s="143"/>
    </row>
    <row r="40" spans="1:27" x14ac:dyDescent="0.3">
      <c r="A40" s="38">
        <f t="shared" si="4"/>
        <v>0</v>
      </c>
      <c r="B40" s="42" t="str">
        <f>IF('1.KROK - vstupné údaje'!B28=0,"...",'1.KROK - vstupné údaje'!B28)</f>
        <v>...</v>
      </c>
      <c r="C40" s="41" t="str">
        <f>IF('1.KROK - vstupné údaje'!H5=0,"...",'1.KROK - vstupné údaje'!H5)</f>
        <v>...</v>
      </c>
      <c r="D40" s="41" t="str">
        <f>IF('1.KROK - vstupné údaje'!I15=0,"...",'1.KROK - vstupné údaje'!I15)</f>
        <v>...</v>
      </c>
      <c r="E40" s="41" t="str">
        <f>IF('1.KROK - vstupné údaje'!E28=0,"...",'1.KROK - vstupné údaje'!E28)</f>
        <v>...</v>
      </c>
      <c r="F40" s="41" t="str">
        <f>IF('1.KROK - vstupné údaje'!F28=0,"...",'1.KROK - vstupné údaje'!F28)</f>
        <v>...</v>
      </c>
      <c r="G40" s="41" t="str">
        <f>IF('1.KROK - vstupné údaje'!G28=0,"...",'1.KROK - vstupné údaje'!G28)</f>
        <v>...</v>
      </c>
      <c r="H40" s="41" t="str">
        <f>IF('1.KROK - vstupné údaje'!H28=0,"...",'1.KROK - vstupné údaje'!H28)</f>
        <v>...</v>
      </c>
      <c r="I40" s="40" t="str">
        <f t="shared" si="5"/>
        <v>...</v>
      </c>
      <c r="J40" s="39"/>
      <c r="K40" s="143"/>
    </row>
    <row r="41" spans="1:27" x14ac:dyDescent="0.3">
      <c r="A41" s="38">
        <f t="shared" si="4"/>
        <v>0</v>
      </c>
      <c r="B41" s="42" t="str">
        <f>IF('1.KROK - vstupné údaje'!B29=0,"...",'1.KROK - vstupné údaje'!B29)</f>
        <v>...</v>
      </c>
      <c r="C41" s="41" t="str">
        <f>IF('1.KROK - vstupné údaje'!H6=0,"...",'1.KROK - vstupné údaje'!H6)</f>
        <v>...</v>
      </c>
      <c r="D41" s="41" t="str">
        <f>IF('1.KROK - vstupné údaje'!I16=0,"...",'1.KROK - vstupné údaje'!I16)</f>
        <v>...</v>
      </c>
      <c r="E41" s="41" t="str">
        <f>IF('1.KROK - vstupné údaje'!E29=0,"...",'1.KROK - vstupné údaje'!E29)</f>
        <v>...</v>
      </c>
      <c r="F41" s="41" t="str">
        <f>IF('1.KROK - vstupné údaje'!F29=0,"...",'1.KROK - vstupné údaje'!F29)</f>
        <v>...</v>
      </c>
      <c r="G41" s="41" t="str">
        <f>IF('1.KROK - vstupné údaje'!G29=0,"...",'1.KROK - vstupné údaje'!G29)</f>
        <v>...</v>
      </c>
      <c r="H41" s="41" t="str">
        <f>IF('1.KROK - vstupné údaje'!H29=0,"...",'1.KROK - vstupné údaje'!H29)</f>
        <v>...</v>
      </c>
      <c r="I41" s="40" t="str">
        <f t="shared" si="5"/>
        <v>...</v>
      </c>
      <c r="J41" s="39"/>
      <c r="K41" s="143"/>
    </row>
  </sheetData>
  <sheetProtection algorithmName="SHA-512" hashValue="cTcO0IWM3xkJL1syzm+WIBrBO+vt9EUM1/Jutuicciu0lwknK7lFvyR0pSJpecEsTnERNwocT368/ck+DB7CEA==" saltValue="x372xYoRsjlgzXm44sm57g==" spinCount="100000" sheet="1" objects="1" scenarios="1"/>
  <mergeCells count="4">
    <mergeCell ref="K33:K41"/>
    <mergeCell ref="B7:F8"/>
    <mergeCell ref="F28:K29"/>
    <mergeCell ref="B30:E30"/>
  </mergeCells>
  <dataValidations count="1">
    <dataValidation type="list" allowBlank="1" showInputMessage="1" showErrorMessage="1" sqref="E29" xr:uid="{A71866C3-10C7-4EE7-86EA-C269A255B360}">
      <formula1>$S$18:$S$19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B5AB-469C-441C-88B5-75E644242870}">
  <dimension ref="A1:N19"/>
  <sheetViews>
    <sheetView workbookViewId="0">
      <selection activeCell="E12" sqref="E12"/>
    </sheetView>
  </sheetViews>
  <sheetFormatPr defaultRowHeight="14.5" x14ac:dyDescent="0.35"/>
  <cols>
    <col min="1" max="3" width="8.7265625" style="77"/>
    <col min="4" max="4" width="11.08984375" style="77" customWidth="1"/>
    <col min="5" max="5" width="13.26953125" style="77" bestFit="1" customWidth="1"/>
    <col min="6" max="16384" width="8.7265625" style="77"/>
  </cols>
  <sheetData>
    <row r="1" spans="1:14" s="85" customFormat="1" x14ac:dyDescent="0.35">
      <c r="A1" s="85" t="s">
        <v>10</v>
      </c>
      <c r="B1" s="96">
        <f>1-(B2/100)</f>
        <v>0.89147964169239824</v>
      </c>
      <c r="C1" s="95">
        <f>('2.KROK - rebalansacia'!C19-'2.KROK - rebalansacia'!C18)*100</f>
        <v>10.852035830760176</v>
      </c>
      <c r="D1" s="95">
        <f>C1*(ABS(E2)*100)</f>
        <v>31.13083510820432</v>
      </c>
      <c r="E1" s="94">
        <f>('2.KROK - rebalansacia'!E15/100)*D1</f>
        <v>3556.1216385546531</v>
      </c>
      <c r="F1" s="87">
        <f>'2.KROK - rebalansacia'!C15+E1</f>
        <v>10312.681638554654</v>
      </c>
      <c r="G1" s="89">
        <f>F1+'2.KROK - rebalansacia'!D15</f>
        <v>14979.270507495406</v>
      </c>
      <c r="H1" s="93">
        <f>F1/G1</f>
        <v>0.68846354255998909</v>
      </c>
      <c r="I1" s="86"/>
    </row>
    <row r="2" spans="1:14" s="85" customFormat="1" x14ac:dyDescent="0.35">
      <c r="B2" s="91">
        <f>C1</f>
        <v>10.852035830760176</v>
      </c>
      <c r="C2" s="85">
        <v>1</v>
      </c>
      <c r="D2" s="90">
        <f>VLOOKUP(C2,'2.KROK - rebalansacia'!U14:W33,2,FALSE)</f>
        <v>0.4</v>
      </c>
      <c r="E2" s="92">
        <f>VLOOKUP(D2,A7:J18,10,FALSE)</f>
        <v>-2.8686631332310697E-2</v>
      </c>
      <c r="H2" s="87"/>
      <c r="I2" s="86"/>
    </row>
    <row r="3" spans="1:14" s="85" customFormat="1" x14ac:dyDescent="0.35">
      <c r="B3" s="91"/>
      <c r="D3" s="90"/>
      <c r="E3" s="89">
        <f>IF(E1&gt;0,E1,0)</f>
        <v>3556.1216385546531</v>
      </c>
      <c r="H3" s="87"/>
      <c r="I3" s="86"/>
    </row>
    <row r="4" spans="1:14" s="85" customFormat="1" x14ac:dyDescent="0.35">
      <c r="C4" s="86"/>
      <c r="F4" s="88">
        <v>0.05</v>
      </c>
      <c r="G4" s="88">
        <v>0.1</v>
      </c>
      <c r="H4" s="88">
        <v>0.2</v>
      </c>
      <c r="I4" s="88">
        <v>0.3</v>
      </c>
      <c r="J4" s="87"/>
      <c r="K4" s="86">
        <f>J16*100</f>
        <v>-2.4662763604876181</v>
      </c>
    </row>
    <row r="5" spans="1:14" s="85" customFormat="1" x14ac:dyDescent="0.35">
      <c r="K5" s="86"/>
    </row>
    <row r="6" spans="1:14" x14ac:dyDescent="0.35">
      <c r="B6" s="84" t="s">
        <v>54</v>
      </c>
      <c r="C6" s="84" t="s">
        <v>53</v>
      </c>
      <c r="D6" s="84" t="s">
        <v>54</v>
      </c>
      <c r="E6" s="84" t="s">
        <v>53</v>
      </c>
      <c r="F6" s="84" t="s">
        <v>54</v>
      </c>
      <c r="G6" s="84" t="s">
        <v>53</v>
      </c>
    </row>
    <row r="7" spans="1:14" x14ac:dyDescent="0.35">
      <c r="A7" s="82">
        <v>0</v>
      </c>
      <c r="B7" s="82">
        <v>0.1</v>
      </c>
      <c r="C7" s="82">
        <v>0.9</v>
      </c>
      <c r="D7" s="78">
        <f>'2.KROK - rebalansacia'!$E$15*B7</f>
        <v>1142.3148868940755</v>
      </c>
      <c r="E7" s="78">
        <f>'2.KROK - rebalansacia'!$E$15*C7</f>
        <v>10280.833982046679</v>
      </c>
      <c r="F7" s="81">
        <f t="shared" ref="F7:F19" si="0">D7*$B$1</f>
        <v>1018.3504660682228</v>
      </c>
      <c r="G7" s="81">
        <f t="shared" ref="G7:G19" si="1">E7</f>
        <v>10280.833982046679</v>
      </c>
      <c r="H7" s="80">
        <f t="shared" ref="H7:H19" si="2">F7+G7</f>
        <v>11299.184448114902</v>
      </c>
      <c r="I7" s="79">
        <f t="shared" ref="I7:I19" si="3">F7/H7</f>
        <v>9.0126014912352295E-2</v>
      </c>
      <c r="J7" s="79">
        <f t="shared" ref="J7:J18" si="4">I7-B7</f>
        <v>-9.8739850876477103E-3</v>
      </c>
      <c r="K7" s="77">
        <f t="shared" ref="K7:K19" si="5">((H7/100)*((J7*-100)*$B$2)+F7)</f>
        <v>2229.0901689556508</v>
      </c>
      <c r="L7" s="78">
        <f t="shared" ref="L7:L19" si="6">H7+(K7-F7)</f>
        <v>12509.924151002329</v>
      </c>
      <c r="M7" s="77">
        <f t="shared" ref="M7:M19" si="7">K7/L7</f>
        <v>0.17818574613636246</v>
      </c>
      <c r="N7" s="78">
        <f t="shared" ref="N7:N19" si="8">K7-F7</f>
        <v>1210.7397028874279</v>
      </c>
    </row>
    <row r="8" spans="1:14" x14ac:dyDescent="0.35">
      <c r="A8" s="82">
        <v>0.1</v>
      </c>
      <c r="B8" s="82">
        <v>0.2</v>
      </c>
      <c r="C8" s="82">
        <v>0.8</v>
      </c>
      <c r="D8" s="78">
        <f>'2.KROK - rebalansacia'!$E$15*B8</f>
        <v>2284.6297737881509</v>
      </c>
      <c r="E8" s="78">
        <f>'2.KROK - rebalansacia'!$E$15*C8</f>
        <v>9138.5190951526038</v>
      </c>
      <c r="F8" s="81">
        <f t="shared" si="0"/>
        <v>2036.7009321364455</v>
      </c>
      <c r="G8" s="81">
        <f t="shared" si="1"/>
        <v>9138.5190951526038</v>
      </c>
      <c r="H8" s="80">
        <f t="shared" si="2"/>
        <v>11175.22002728905</v>
      </c>
      <c r="I8" s="79">
        <f t="shared" si="3"/>
        <v>0.18225152857509513</v>
      </c>
      <c r="J8" s="79">
        <f t="shared" si="4"/>
        <v>-1.7748471424904877E-2</v>
      </c>
      <c r="K8" s="77">
        <f t="shared" si="5"/>
        <v>4189.1270706029845</v>
      </c>
      <c r="L8" s="78">
        <f t="shared" si="6"/>
        <v>13327.646165755588</v>
      </c>
      <c r="M8" s="77">
        <f t="shared" si="7"/>
        <v>0.31431859898611653</v>
      </c>
      <c r="N8" s="78">
        <f t="shared" si="8"/>
        <v>2152.4261384665388</v>
      </c>
    </row>
    <row r="9" spans="1:14" x14ac:dyDescent="0.35">
      <c r="A9" s="82">
        <v>0.2</v>
      </c>
      <c r="B9" s="82">
        <v>0.3</v>
      </c>
      <c r="C9" s="82">
        <v>0.7</v>
      </c>
      <c r="D9" s="78">
        <f>'2.KROK - rebalansacia'!$E$15*B9</f>
        <v>3426.9446606822262</v>
      </c>
      <c r="E9" s="78">
        <f>'2.KROK - rebalansacia'!$E$15*C9</f>
        <v>7996.2042082585276</v>
      </c>
      <c r="F9" s="81">
        <f t="shared" si="0"/>
        <v>3055.0513982046682</v>
      </c>
      <c r="G9" s="81">
        <f t="shared" si="1"/>
        <v>7996.2042082585276</v>
      </c>
      <c r="H9" s="80">
        <f t="shared" si="2"/>
        <v>11051.255606463195</v>
      </c>
      <c r="I9" s="79">
        <f t="shared" si="3"/>
        <v>0.27644382747042406</v>
      </c>
      <c r="J9" s="79">
        <f t="shared" si="4"/>
        <v>-2.3556172529575925E-2</v>
      </c>
      <c r="K9" s="77">
        <f t="shared" si="5"/>
        <v>5880.1107049419952</v>
      </c>
      <c r="L9" s="78">
        <f t="shared" si="6"/>
        <v>13876.314913200522</v>
      </c>
      <c r="M9" s="77">
        <f t="shared" si="7"/>
        <v>0.4237516042064059</v>
      </c>
      <c r="N9" s="78">
        <f t="shared" si="8"/>
        <v>2825.059306737327</v>
      </c>
    </row>
    <row r="10" spans="1:14" x14ac:dyDescent="0.35">
      <c r="A10" s="82">
        <v>0.3</v>
      </c>
      <c r="B10" s="82">
        <v>0.4</v>
      </c>
      <c r="C10" s="82">
        <v>0.6</v>
      </c>
      <c r="D10" s="78">
        <f>'2.KROK - rebalansacia'!$E$15*B10</f>
        <v>4569.2595475763019</v>
      </c>
      <c r="E10" s="78">
        <f>'2.KROK - rebalansacia'!$E$15*C10</f>
        <v>6853.8893213644524</v>
      </c>
      <c r="F10" s="81">
        <f t="shared" si="0"/>
        <v>4073.4018642728911</v>
      </c>
      <c r="G10" s="81">
        <f t="shared" si="1"/>
        <v>6853.8893213644524</v>
      </c>
      <c r="H10" s="80">
        <f t="shared" si="2"/>
        <v>10927.291185637343</v>
      </c>
      <c r="I10" s="79">
        <f t="shared" si="3"/>
        <v>0.37277325140075934</v>
      </c>
      <c r="J10" s="79">
        <f t="shared" si="4"/>
        <v>-2.722674859924068E-2</v>
      </c>
      <c r="K10" s="77">
        <f t="shared" si="5"/>
        <v>7302.0410719726988</v>
      </c>
      <c r="L10" s="78">
        <f t="shared" si="6"/>
        <v>14155.93039333715</v>
      </c>
      <c r="M10" s="77">
        <f t="shared" si="7"/>
        <v>0.51582911677847687</v>
      </c>
      <c r="N10" s="78">
        <f t="shared" si="8"/>
        <v>3228.6392076998077</v>
      </c>
    </row>
    <row r="11" spans="1:14" x14ac:dyDescent="0.35">
      <c r="A11" s="82">
        <v>0.35</v>
      </c>
      <c r="B11" s="82">
        <v>0.45</v>
      </c>
      <c r="C11" s="82">
        <v>0.65</v>
      </c>
      <c r="D11" s="78">
        <f>'2.KROK - rebalansacia'!$E$15*B11</f>
        <v>5140.4169910233395</v>
      </c>
      <c r="E11" s="78">
        <f>'2.KROK - rebalansacia'!$E$15*C11</f>
        <v>7425.0467648114909</v>
      </c>
      <c r="F11" s="81">
        <f t="shared" si="0"/>
        <v>4582.577097307003</v>
      </c>
      <c r="G11" s="81">
        <f t="shared" si="1"/>
        <v>7425.0467648114909</v>
      </c>
      <c r="H11" s="80">
        <f t="shared" si="2"/>
        <v>12007.623862118493</v>
      </c>
      <c r="I11" s="79">
        <f t="shared" si="3"/>
        <v>0.38163896120730945</v>
      </c>
      <c r="J11" s="79">
        <f t="shared" si="4"/>
        <v>-6.8361038792690565E-2</v>
      </c>
      <c r="K11" s="77">
        <f t="shared" si="5"/>
        <v>13490.510217410796</v>
      </c>
      <c r="L11" s="78">
        <f t="shared" si="6"/>
        <v>20915.556982222286</v>
      </c>
      <c r="M11" s="77">
        <f t="shared" si="7"/>
        <v>0.64499885080169761</v>
      </c>
      <c r="N11" s="78">
        <f t="shared" si="8"/>
        <v>8907.933120103793</v>
      </c>
    </row>
    <row r="12" spans="1:14" x14ac:dyDescent="0.35">
      <c r="A12" s="82">
        <v>0.4</v>
      </c>
      <c r="B12" s="82">
        <v>0.5</v>
      </c>
      <c r="C12" s="82">
        <v>0.5</v>
      </c>
      <c r="D12" s="78">
        <f>'2.KROK - rebalansacia'!$E$15*B12</f>
        <v>5711.5744344703771</v>
      </c>
      <c r="E12" s="78">
        <f>'2.KROK - rebalansacia'!$E$15*C12</f>
        <v>5711.5744344703771</v>
      </c>
      <c r="F12" s="81">
        <f t="shared" si="0"/>
        <v>5091.7523303411135</v>
      </c>
      <c r="G12" s="81">
        <f t="shared" si="1"/>
        <v>5711.5744344703771</v>
      </c>
      <c r="H12" s="80">
        <f t="shared" si="2"/>
        <v>10803.326764811491</v>
      </c>
      <c r="I12" s="79">
        <f t="shared" si="3"/>
        <v>0.4713133686676893</v>
      </c>
      <c r="J12" s="79">
        <f t="shared" si="4"/>
        <v>-2.8686631332310697E-2</v>
      </c>
      <c r="K12" s="77">
        <f t="shared" si="5"/>
        <v>8454.9181716950825</v>
      </c>
      <c r="L12" s="78">
        <f t="shared" si="6"/>
        <v>14166.492606165459</v>
      </c>
      <c r="M12" s="77">
        <f t="shared" si="7"/>
        <v>0.59682508626132214</v>
      </c>
      <c r="N12" s="78">
        <f t="shared" si="8"/>
        <v>3363.165841353969</v>
      </c>
    </row>
    <row r="13" spans="1:14" x14ac:dyDescent="0.35">
      <c r="A13" s="82">
        <v>0.45</v>
      </c>
      <c r="B13" s="82">
        <v>0.55000000000000004</v>
      </c>
      <c r="C13" s="82">
        <v>0.45</v>
      </c>
      <c r="D13" s="78">
        <f>'2.KROK - rebalansacia'!$E$15*B13</f>
        <v>6282.7318779174157</v>
      </c>
      <c r="E13" s="78">
        <f>'2.KROK - rebalansacia'!$E$15*C13</f>
        <v>5140.4169910233395</v>
      </c>
      <c r="F13" s="81">
        <f t="shared" si="0"/>
        <v>5600.9275633752259</v>
      </c>
      <c r="G13" s="81">
        <f t="shared" si="1"/>
        <v>5140.4169910233395</v>
      </c>
      <c r="H13" s="80">
        <f t="shared" si="2"/>
        <v>10741.344554398565</v>
      </c>
      <c r="I13" s="79">
        <f t="shared" si="3"/>
        <v>0.52143635603623328</v>
      </c>
      <c r="J13" s="79">
        <f t="shared" si="4"/>
        <v>-2.8563643963766761E-2</v>
      </c>
      <c r="K13" s="77">
        <f t="shared" si="5"/>
        <v>8930.4617463156537</v>
      </c>
      <c r="L13" s="78">
        <f t="shared" si="6"/>
        <v>14070.878737338993</v>
      </c>
      <c r="M13" s="77">
        <f t="shared" si="7"/>
        <v>0.63467690348417671</v>
      </c>
      <c r="N13" s="78">
        <f t="shared" si="8"/>
        <v>3329.5341829404279</v>
      </c>
    </row>
    <row r="14" spans="1:14" x14ac:dyDescent="0.35">
      <c r="A14" s="82">
        <v>0.5</v>
      </c>
      <c r="B14" s="82">
        <v>0.6</v>
      </c>
      <c r="C14" s="83">
        <v>0.4</v>
      </c>
      <c r="D14" s="78">
        <f>'2.KROK - rebalansacia'!$E$15*B14</f>
        <v>6853.8893213644524</v>
      </c>
      <c r="E14" s="78">
        <f>'2.KROK - rebalansacia'!$E$15*C14</f>
        <v>4569.2595475763019</v>
      </c>
      <c r="F14" s="81">
        <f t="shared" si="0"/>
        <v>6110.1027964093364</v>
      </c>
      <c r="G14" s="81">
        <f t="shared" si="1"/>
        <v>4569.2595475763019</v>
      </c>
      <c r="H14" s="80">
        <f t="shared" si="2"/>
        <v>10679.362343985638</v>
      </c>
      <c r="I14" s="79">
        <f t="shared" si="3"/>
        <v>0.57214116345161758</v>
      </c>
      <c r="J14" s="79">
        <f t="shared" si="4"/>
        <v>-2.7858836548382393E-2</v>
      </c>
      <c r="K14" s="77">
        <f t="shared" si="5"/>
        <v>9338.7420041091355</v>
      </c>
      <c r="L14" s="78">
        <f t="shared" si="6"/>
        <v>13908.001551685436</v>
      </c>
      <c r="M14" s="77">
        <f t="shared" si="7"/>
        <v>0.67146541287072425</v>
      </c>
      <c r="N14" s="78">
        <f t="shared" si="8"/>
        <v>3228.639207699799</v>
      </c>
    </row>
    <row r="15" spans="1:14" x14ac:dyDescent="0.35">
      <c r="A15" s="82">
        <v>0.55000000000000004</v>
      </c>
      <c r="B15" s="82">
        <v>0.65</v>
      </c>
      <c r="C15" s="83">
        <v>0.35</v>
      </c>
      <c r="D15" s="78">
        <f>'2.KROK - rebalansacia'!$E$15*B15</f>
        <v>7425.0467648114909</v>
      </c>
      <c r="E15" s="78">
        <f>'2.KROK - rebalansacia'!$E$15*C15</f>
        <v>3998.1021041292638</v>
      </c>
      <c r="F15" s="81">
        <f t="shared" si="0"/>
        <v>6619.2780294434488</v>
      </c>
      <c r="G15" s="81">
        <f t="shared" si="1"/>
        <v>3998.1021041292638</v>
      </c>
      <c r="H15" s="80">
        <f t="shared" si="2"/>
        <v>10617.380133572713</v>
      </c>
      <c r="I15" s="79">
        <f t="shared" si="3"/>
        <v>0.62343798057233957</v>
      </c>
      <c r="J15" s="79">
        <f t="shared" si="4"/>
        <v>-2.6562019427660455E-2</v>
      </c>
      <c r="K15" s="77">
        <f t="shared" si="5"/>
        <v>9679.7589450755549</v>
      </c>
      <c r="L15" s="78">
        <f t="shared" si="6"/>
        <v>13677.861049204819</v>
      </c>
      <c r="M15" s="77">
        <f t="shared" si="7"/>
        <v>0.70769537066165045</v>
      </c>
      <c r="N15" s="78">
        <f t="shared" si="8"/>
        <v>3060.4809156321062</v>
      </c>
    </row>
    <row r="16" spans="1:14" x14ac:dyDescent="0.35">
      <c r="A16" s="82">
        <v>0.6</v>
      </c>
      <c r="B16" s="82">
        <v>0.7</v>
      </c>
      <c r="C16" s="82">
        <v>0.3</v>
      </c>
      <c r="D16" s="78">
        <f>'2.KROK - rebalansacia'!$E$15*B16</f>
        <v>7996.2042082585276</v>
      </c>
      <c r="E16" s="78">
        <f>'2.KROK - rebalansacia'!$E$15*C16</f>
        <v>3426.9446606822262</v>
      </c>
      <c r="F16" s="81">
        <f t="shared" si="0"/>
        <v>7128.4532624775593</v>
      </c>
      <c r="G16" s="81">
        <f t="shared" si="1"/>
        <v>3426.9446606822262</v>
      </c>
      <c r="H16" s="80">
        <f t="shared" si="2"/>
        <v>10555.397923159786</v>
      </c>
      <c r="I16" s="79">
        <f t="shared" si="3"/>
        <v>0.67533723639512377</v>
      </c>
      <c r="J16" s="79">
        <f t="shared" si="4"/>
        <v>-2.4662763604876181E-2</v>
      </c>
      <c r="K16" s="77">
        <f t="shared" si="5"/>
        <v>9953.5125692148922</v>
      </c>
      <c r="L16" s="78">
        <f t="shared" si="6"/>
        <v>13380.457229897118</v>
      </c>
      <c r="M16" s="77">
        <f t="shared" si="7"/>
        <v>0.74388433804600451</v>
      </c>
      <c r="N16" s="78">
        <f t="shared" si="8"/>
        <v>2825.0593067373329</v>
      </c>
    </row>
    <row r="17" spans="1:14" x14ac:dyDescent="0.35">
      <c r="A17" s="82">
        <v>0.7</v>
      </c>
      <c r="B17" s="82">
        <v>0.8</v>
      </c>
      <c r="C17" s="82">
        <v>0.2</v>
      </c>
      <c r="D17" s="78">
        <f>'2.KROK - rebalansacia'!$E$15*B17</f>
        <v>9138.5190951526038</v>
      </c>
      <c r="E17" s="78">
        <f>'2.KROK - rebalansacia'!$E$15*C17</f>
        <v>2284.6297737881509</v>
      </c>
      <c r="F17" s="81">
        <f t="shared" si="0"/>
        <v>8146.8037285457822</v>
      </c>
      <c r="G17" s="81">
        <f t="shared" si="1"/>
        <v>2284.6297737881509</v>
      </c>
      <c r="H17" s="80">
        <f t="shared" si="2"/>
        <v>10431.433502333934</v>
      </c>
      <c r="I17" s="79">
        <f t="shared" si="3"/>
        <v>0.78098601948840618</v>
      </c>
      <c r="J17" s="79">
        <f t="shared" si="4"/>
        <v>-1.9013980511593864E-2</v>
      </c>
      <c r="K17" s="77">
        <f t="shared" si="5"/>
        <v>10299.229867012325</v>
      </c>
      <c r="L17" s="78">
        <f t="shared" si="6"/>
        <v>12583.859640800478</v>
      </c>
      <c r="M17" s="77">
        <f t="shared" si="7"/>
        <v>0.81844761154354195</v>
      </c>
      <c r="N17" s="78">
        <f t="shared" si="8"/>
        <v>2152.4261384665433</v>
      </c>
    </row>
    <row r="18" spans="1:14" x14ac:dyDescent="0.35">
      <c r="A18" s="82">
        <v>0.8</v>
      </c>
      <c r="B18" s="82">
        <v>0.9</v>
      </c>
      <c r="C18" s="82">
        <v>0.1</v>
      </c>
      <c r="D18" s="78">
        <f>'2.KROK - rebalansacia'!$E$15*B18</f>
        <v>10280.833982046679</v>
      </c>
      <c r="E18" s="78">
        <f>'2.KROK - rebalansacia'!$E$15*C18</f>
        <v>1142.3148868940755</v>
      </c>
      <c r="F18" s="81">
        <f t="shared" si="0"/>
        <v>9165.154194614006</v>
      </c>
      <c r="G18" s="81">
        <f t="shared" si="1"/>
        <v>1142.3148868940755</v>
      </c>
      <c r="H18" s="80">
        <f t="shared" si="2"/>
        <v>10307.469081508081</v>
      </c>
      <c r="I18" s="79">
        <f t="shared" si="3"/>
        <v>0.8891760064608466</v>
      </c>
      <c r="J18" s="79">
        <f t="shared" si="4"/>
        <v>-1.082399353915342E-2</v>
      </c>
      <c r="K18" s="77">
        <f t="shared" si="5"/>
        <v>10375.89389750143</v>
      </c>
      <c r="L18" s="78">
        <f t="shared" si="6"/>
        <v>11518.208784395505</v>
      </c>
      <c r="M18" s="77">
        <f t="shared" si="7"/>
        <v>0.90082530120120363</v>
      </c>
      <c r="N18" s="78">
        <f t="shared" si="8"/>
        <v>1210.7397028874238</v>
      </c>
    </row>
    <row r="19" spans="1:14" x14ac:dyDescent="0.35">
      <c r="A19" s="82">
        <v>0.9</v>
      </c>
      <c r="B19" s="82">
        <v>0.9</v>
      </c>
      <c r="C19" s="82">
        <v>0.1</v>
      </c>
      <c r="D19" s="78">
        <f>'2.KROK - rebalansacia'!$E$15*B19</f>
        <v>10280.833982046679</v>
      </c>
      <c r="E19" s="78">
        <f>'2.KROK - rebalansacia'!$E$15*C19</f>
        <v>1142.3148868940755</v>
      </c>
      <c r="F19" s="81">
        <f t="shared" si="0"/>
        <v>9165.154194614006</v>
      </c>
      <c r="G19" s="81">
        <f t="shared" si="1"/>
        <v>1142.3148868940755</v>
      </c>
      <c r="H19" s="80">
        <f t="shared" si="2"/>
        <v>10307.469081508081</v>
      </c>
      <c r="I19" s="79">
        <f t="shared" si="3"/>
        <v>0.8891760064608466</v>
      </c>
      <c r="J19" s="79">
        <v>-0.01</v>
      </c>
      <c r="K19" s="77">
        <f t="shared" si="5"/>
        <v>10283.724432583789</v>
      </c>
      <c r="L19" s="78">
        <f t="shared" si="6"/>
        <v>11426.039319477864</v>
      </c>
      <c r="M19" s="77">
        <f t="shared" si="7"/>
        <v>0.90002529704700196</v>
      </c>
      <c r="N19" s="78">
        <f t="shared" si="8"/>
        <v>1118.5702379697832</v>
      </c>
    </row>
  </sheetData>
  <sheetProtection algorithmName="SHA-512" hashValue="nj0uJADX/dTQEXrzKrsIsnLcuPF2+A5pcTKjL7iB2BIh5d20+qmZ4cJ6v5Mfz5ptzFHClxJnEQTyrv/U5+hnHg==" saltValue="xCOaUI8re4CAJ3PZjNbCf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871D-0678-4059-8A70-088BC1D4068B}">
  <dimension ref="A1:N18"/>
  <sheetViews>
    <sheetView workbookViewId="0">
      <selection activeCell="J19" sqref="J19"/>
    </sheetView>
  </sheetViews>
  <sheetFormatPr defaultRowHeight="14.5" x14ac:dyDescent="0.35"/>
  <cols>
    <col min="4" max="4" width="11.08984375" customWidth="1"/>
    <col min="5" max="5" width="13.26953125" bestFit="1" customWidth="1"/>
  </cols>
  <sheetData>
    <row r="1" spans="1:14" s="104" customFormat="1" x14ac:dyDescent="0.35">
      <c r="A1" s="104" t="s">
        <v>8</v>
      </c>
      <c r="B1" s="115">
        <f>1-(B2/100)</f>
        <v>1.1085203583076018</v>
      </c>
      <c r="C1" s="114">
        <f>('2.KROK - rebalansacia'!D19-'2.KROK - rebalansacia'!D18)*100</f>
        <v>-10.852035830760181</v>
      </c>
      <c r="D1" s="114">
        <f>C1*(ABS(E2)*100)</f>
        <v>-27.088156999896071</v>
      </c>
      <c r="E1" s="113">
        <f>('2.KROK - rebalansacia'!E15/100)*D1</f>
        <v>-3094.3204999505238</v>
      </c>
      <c r="F1" s="106">
        <f>'2.KROK - rebalansacia'!C15+E1</f>
        <v>3662.2395000494766</v>
      </c>
      <c r="G1" s="112">
        <f>F1+'2.KROK - rebalansacia'!D15</f>
        <v>8328.828368990231</v>
      </c>
      <c r="H1" s="111">
        <f>F1/G1</f>
        <v>0.43970644342782617</v>
      </c>
      <c r="I1" s="105"/>
    </row>
    <row r="2" spans="1:14" s="104" customFormat="1" x14ac:dyDescent="0.35">
      <c r="B2" s="110">
        <f>C1</f>
        <v>-10.852035830760181</v>
      </c>
      <c r="C2" s="104">
        <v>1</v>
      </c>
      <c r="D2" s="109">
        <f>VLOOKUP(C2,'2.KROK - rebalansacia'!Z14:AA33,2,FALSE)</f>
        <v>0.3</v>
      </c>
      <c r="E2" s="108">
        <f>VLOOKUP(D2,A6:J18,10,FALSE)</f>
        <v>2.4961359713828513E-2</v>
      </c>
      <c r="H2" s="106"/>
      <c r="I2" s="105"/>
    </row>
    <row r="3" spans="1:14" s="104" customFormat="1" x14ac:dyDescent="0.35">
      <c r="C3" s="105"/>
      <c r="F3" s="107">
        <v>0.05</v>
      </c>
      <c r="G3" s="107">
        <v>0.1</v>
      </c>
      <c r="H3" s="107">
        <v>0.2</v>
      </c>
      <c r="I3" s="107">
        <v>0.3</v>
      </c>
      <c r="J3" s="106"/>
      <c r="K3" s="105">
        <f>J15*100</f>
        <v>2.1180327531632903</v>
      </c>
    </row>
    <row r="4" spans="1:14" s="104" customFormat="1" x14ac:dyDescent="0.35">
      <c r="K4" s="105"/>
    </row>
    <row r="5" spans="1:14" x14ac:dyDescent="0.35">
      <c r="B5" s="103" t="s">
        <v>54</v>
      </c>
      <c r="C5" s="103" t="s">
        <v>53</v>
      </c>
      <c r="D5" s="103" t="s">
        <v>54</v>
      </c>
      <c r="E5" s="103" t="s">
        <v>53</v>
      </c>
      <c r="F5" s="103" t="s">
        <v>54</v>
      </c>
      <c r="G5" s="103" t="s">
        <v>53</v>
      </c>
    </row>
    <row r="6" spans="1:14" x14ac:dyDescent="0.35">
      <c r="A6" s="101">
        <v>0</v>
      </c>
      <c r="B6" s="101">
        <v>0.1</v>
      </c>
      <c r="C6" s="101">
        <v>0.9</v>
      </c>
      <c r="D6" s="97">
        <f>'2.KROK - rebalansacia'!$E$15*B6</f>
        <v>1142.3148868940755</v>
      </c>
      <c r="E6" s="97">
        <f>'2.KROK - rebalansacia'!$E$15*C6</f>
        <v>10280.833982046679</v>
      </c>
      <c r="F6" s="100">
        <f t="shared" ref="F6:F18" si="0">D6*$B$1</f>
        <v>1266.2793077199281</v>
      </c>
      <c r="G6" s="100">
        <f t="shared" ref="G6:G18" si="1">E6</f>
        <v>10280.833982046679</v>
      </c>
      <c r="H6" s="99">
        <f t="shared" ref="H6:H18" si="2">F6+G6</f>
        <v>11547.113289766607</v>
      </c>
      <c r="I6" s="98">
        <f t="shared" ref="I6:I18" si="3">F6/H6</f>
        <v>0.10966198009351326</v>
      </c>
      <c r="J6" s="98">
        <f t="shared" ref="J6:J17" si="4">I6-B6</f>
        <v>9.6619800935132533E-3</v>
      </c>
      <c r="K6">
        <f t="shared" ref="K6:K18" si="5">((H6/100)*((J6*-100)*$B$2)+F6)</f>
        <v>2477.0190106073551</v>
      </c>
      <c r="L6" s="97">
        <f t="shared" ref="L6:L18" si="6">H6+(K6-F6)</f>
        <v>12757.852992654034</v>
      </c>
      <c r="M6">
        <f t="shared" ref="M6:M18" si="7">K6/L6</f>
        <v>0.19415641581962276</v>
      </c>
      <c r="N6" s="97">
        <f t="shared" ref="N6:N18" si="8">K6-F6</f>
        <v>1210.739702887427</v>
      </c>
    </row>
    <row r="7" spans="1:14" x14ac:dyDescent="0.35">
      <c r="A7" s="101">
        <v>0.1</v>
      </c>
      <c r="B7" s="101">
        <v>0.2</v>
      </c>
      <c r="C7" s="101">
        <v>0.8</v>
      </c>
      <c r="D7" s="97">
        <f>'2.KROK - rebalansacia'!$E$15*B7</f>
        <v>2284.6297737881509</v>
      </c>
      <c r="E7" s="97">
        <f>'2.KROK - rebalansacia'!$E$15*C7</f>
        <v>9138.5190951526038</v>
      </c>
      <c r="F7" s="100">
        <f t="shared" si="0"/>
        <v>2532.5586154398561</v>
      </c>
      <c r="G7" s="100">
        <f t="shared" si="1"/>
        <v>9138.5190951526038</v>
      </c>
      <c r="H7" s="99">
        <f t="shared" si="2"/>
        <v>11671.077710592461</v>
      </c>
      <c r="I7" s="98">
        <f t="shared" si="3"/>
        <v>0.21699440944869652</v>
      </c>
      <c r="J7" s="98">
        <f t="shared" si="4"/>
        <v>1.6994409448696512E-2</v>
      </c>
      <c r="K7">
        <f t="shared" si="5"/>
        <v>4684.9847539063894</v>
      </c>
      <c r="L7" s="97">
        <f t="shared" si="6"/>
        <v>13823.503849058994</v>
      </c>
      <c r="M7">
        <f t="shared" si="7"/>
        <v>0.33891441743442707</v>
      </c>
      <c r="N7" s="97">
        <f t="shared" si="8"/>
        <v>2152.4261384665333</v>
      </c>
    </row>
    <row r="8" spans="1:14" x14ac:dyDescent="0.35">
      <c r="A8" s="101">
        <v>0.2</v>
      </c>
      <c r="B8" s="101">
        <v>0.3</v>
      </c>
      <c r="C8" s="101">
        <v>0.7</v>
      </c>
      <c r="D8" s="97">
        <f>'2.KROK - rebalansacia'!$E$15*B8</f>
        <v>3426.9446606822262</v>
      </c>
      <c r="E8" s="97">
        <f>'2.KROK - rebalansacia'!$E$15*C8</f>
        <v>7996.2042082585276</v>
      </c>
      <c r="F8" s="100">
        <f t="shared" si="0"/>
        <v>3798.8379231597842</v>
      </c>
      <c r="G8" s="100">
        <f t="shared" si="1"/>
        <v>7996.2042082585276</v>
      </c>
      <c r="H8" s="99">
        <f t="shared" si="2"/>
        <v>11795.042131418311</v>
      </c>
      <c r="I8" s="98">
        <f t="shared" si="3"/>
        <v>0.32207073792817287</v>
      </c>
      <c r="J8" s="98">
        <f t="shared" si="4"/>
        <v>2.2070737928172879E-2</v>
      </c>
      <c r="K8">
        <f t="shared" si="5"/>
        <v>6623.8972298971221</v>
      </c>
      <c r="L8" s="97">
        <f t="shared" si="6"/>
        <v>14620.101438155649</v>
      </c>
      <c r="M8">
        <f t="shared" si="7"/>
        <v>0.45306780243056494</v>
      </c>
      <c r="N8" s="97">
        <f t="shared" si="8"/>
        <v>2825.0593067373379</v>
      </c>
    </row>
    <row r="9" spans="1:14" x14ac:dyDescent="0.35">
      <c r="A9" s="101">
        <v>0.3</v>
      </c>
      <c r="B9" s="101">
        <v>0.4</v>
      </c>
      <c r="C9" s="101">
        <v>0.6</v>
      </c>
      <c r="D9" s="97">
        <f>'2.KROK - rebalansacia'!$E$15*B9</f>
        <v>4569.2595475763019</v>
      </c>
      <c r="E9" s="97">
        <f>'2.KROK - rebalansacia'!$E$15*C9</f>
        <v>6853.8893213644524</v>
      </c>
      <c r="F9" s="100">
        <f t="shared" si="0"/>
        <v>5065.1172308797122</v>
      </c>
      <c r="G9" s="100">
        <f t="shared" si="1"/>
        <v>6853.8893213644524</v>
      </c>
      <c r="H9" s="99">
        <f t="shared" si="2"/>
        <v>11919.006552244166</v>
      </c>
      <c r="I9" s="98">
        <f t="shared" si="3"/>
        <v>0.42496135971382853</v>
      </c>
      <c r="J9" s="98">
        <f t="shared" si="4"/>
        <v>2.4961359713828513E-2</v>
      </c>
      <c r="K9">
        <f t="shared" si="5"/>
        <v>8293.7564385795122</v>
      </c>
      <c r="L9" s="97">
        <f t="shared" si="6"/>
        <v>15147.645759943965</v>
      </c>
      <c r="M9">
        <f t="shared" si="7"/>
        <v>0.54752775249810126</v>
      </c>
      <c r="N9" s="97">
        <f t="shared" si="8"/>
        <v>3228.6392076998</v>
      </c>
    </row>
    <row r="10" spans="1:14" x14ac:dyDescent="0.35">
      <c r="A10" s="101">
        <v>0.35</v>
      </c>
      <c r="B10" s="101">
        <v>0.45</v>
      </c>
      <c r="C10" s="101">
        <v>0.65</v>
      </c>
      <c r="D10" s="97">
        <f>'2.KROK - rebalansacia'!$E$15*B10</f>
        <v>5140.4169910233395</v>
      </c>
      <c r="E10" s="97">
        <f>'2.KROK - rebalansacia'!$E$15*C10</f>
        <v>7425.0467648114909</v>
      </c>
      <c r="F10" s="100">
        <f t="shared" si="0"/>
        <v>5698.256884739676</v>
      </c>
      <c r="G10" s="100">
        <f t="shared" si="1"/>
        <v>7425.0467648114909</v>
      </c>
      <c r="H10" s="99">
        <f t="shared" si="2"/>
        <v>13123.303649551166</v>
      </c>
      <c r="I10" s="98">
        <f t="shared" si="3"/>
        <v>0.43420902517443188</v>
      </c>
      <c r="J10" s="98">
        <f t="shared" si="4"/>
        <v>-1.5790974825568127E-2</v>
      </c>
      <c r="K10">
        <f t="shared" si="5"/>
        <v>3449.3921305167291</v>
      </c>
      <c r="L10" s="97">
        <f t="shared" si="6"/>
        <v>10874.43889532822</v>
      </c>
      <c r="M10">
        <f t="shared" si="7"/>
        <v>0.31720184955921049</v>
      </c>
      <c r="N10" s="97">
        <f t="shared" si="8"/>
        <v>-2248.8647542229469</v>
      </c>
    </row>
    <row r="11" spans="1:14" x14ac:dyDescent="0.35">
      <c r="A11" s="101">
        <v>0.4</v>
      </c>
      <c r="B11" s="101">
        <v>0.5</v>
      </c>
      <c r="C11" s="101">
        <v>0.5</v>
      </c>
      <c r="D11" s="97">
        <f>'2.KROK - rebalansacia'!$E$15*B11</f>
        <v>5711.5744344703771</v>
      </c>
      <c r="E11" s="97">
        <f>'2.KROK - rebalansacia'!$E$15*C11</f>
        <v>5711.5744344703771</v>
      </c>
      <c r="F11" s="100">
        <f t="shared" si="0"/>
        <v>6331.3965385996407</v>
      </c>
      <c r="G11" s="100">
        <f t="shared" si="1"/>
        <v>5711.5744344703771</v>
      </c>
      <c r="H11" s="99">
        <f t="shared" si="2"/>
        <v>12042.970973070018</v>
      </c>
      <c r="I11" s="98">
        <f t="shared" si="3"/>
        <v>0.525733770575188</v>
      </c>
      <c r="J11" s="98">
        <f t="shared" si="4"/>
        <v>2.5733770575187997E-2</v>
      </c>
      <c r="K11">
        <f t="shared" si="5"/>
        <v>9694.5623799536152</v>
      </c>
      <c r="L11" s="97">
        <f t="shared" si="6"/>
        <v>15406.136814423993</v>
      </c>
      <c r="M11">
        <f t="shared" si="7"/>
        <v>0.62926627854408523</v>
      </c>
      <c r="N11" s="97">
        <f t="shared" si="8"/>
        <v>3363.1658413539744</v>
      </c>
    </row>
    <row r="12" spans="1:14" x14ac:dyDescent="0.35">
      <c r="A12" s="101">
        <v>0.45</v>
      </c>
      <c r="B12" s="101">
        <v>0.55000000000000004</v>
      </c>
      <c r="C12" s="101">
        <v>0.45</v>
      </c>
      <c r="D12" s="97">
        <f>'2.KROK - rebalansacia'!$E$15*B12</f>
        <v>6282.7318779174157</v>
      </c>
      <c r="E12" s="97">
        <f>'2.KROK - rebalansacia'!$E$15*C12</f>
        <v>5140.4169910233395</v>
      </c>
      <c r="F12" s="100">
        <f t="shared" si="0"/>
        <v>6964.5361924596054</v>
      </c>
      <c r="G12" s="100">
        <f t="shared" si="1"/>
        <v>5140.4169910233395</v>
      </c>
      <c r="H12" s="99">
        <f t="shared" si="2"/>
        <v>12104.953183482945</v>
      </c>
      <c r="I12" s="98">
        <f t="shared" si="3"/>
        <v>0.57534598332545617</v>
      </c>
      <c r="J12" s="98">
        <f t="shared" si="4"/>
        <v>2.5345983325456123E-2</v>
      </c>
      <c r="K12">
        <f t="shared" si="5"/>
        <v>10294.070375400037</v>
      </c>
      <c r="L12" s="97">
        <f t="shared" si="6"/>
        <v>15434.487366423376</v>
      </c>
      <c r="M12">
        <f t="shared" si="7"/>
        <v>0.6669525285170177</v>
      </c>
      <c r="N12" s="97">
        <f t="shared" si="8"/>
        <v>3329.5341829404315</v>
      </c>
    </row>
    <row r="13" spans="1:14" x14ac:dyDescent="0.35">
      <c r="A13" s="101">
        <v>0.5</v>
      </c>
      <c r="B13" s="101">
        <v>0.6</v>
      </c>
      <c r="C13" s="102">
        <v>0.4</v>
      </c>
      <c r="D13" s="97">
        <f>'2.KROK - rebalansacia'!$E$15*B13</f>
        <v>6853.8893213644524</v>
      </c>
      <c r="E13" s="97">
        <f>'2.KROK - rebalansacia'!$E$15*C13</f>
        <v>4569.2595475763019</v>
      </c>
      <c r="F13" s="100">
        <f t="shared" si="0"/>
        <v>7597.6758463195683</v>
      </c>
      <c r="G13" s="100">
        <f t="shared" si="1"/>
        <v>4569.2595475763019</v>
      </c>
      <c r="H13" s="99">
        <f t="shared" si="2"/>
        <v>12166.93539389587</v>
      </c>
      <c r="I13" s="98">
        <f t="shared" si="3"/>
        <v>0.62445271552368964</v>
      </c>
      <c r="J13" s="98">
        <f t="shared" si="4"/>
        <v>2.4452715523689661E-2</v>
      </c>
      <c r="K13">
        <f t="shared" si="5"/>
        <v>10826.31505401938</v>
      </c>
      <c r="L13" s="97">
        <f t="shared" si="6"/>
        <v>15395.574601595683</v>
      </c>
      <c r="M13">
        <f t="shared" si="7"/>
        <v>0.70320954782014311</v>
      </c>
      <c r="N13" s="97">
        <f t="shared" si="8"/>
        <v>3228.6392076998118</v>
      </c>
    </row>
    <row r="14" spans="1:14" x14ac:dyDescent="0.35">
      <c r="A14" s="101">
        <v>0.55000000000000004</v>
      </c>
      <c r="B14" s="101">
        <v>0.65</v>
      </c>
      <c r="C14" s="102">
        <v>0.35</v>
      </c>
      <c r="D14" s="97">
        <f>'2.KROK - rebalansacia'!$E$15*B14</f>
        <v>7425.0467648114909</v>
      </c>
      <c r="E14" s="97">
        <f>'2.KROK - rebalansacia'!$E$15*C14</f>
        <v>3998.1021041292638</v>
      </c>
      <c r="F14" s="100">
        <f t="shared" si="0"/>
        <v>8230.815500179533</v>
      </c>
      <c r="G14" s="100">
        <f t="shared" si="1"/>
        <v>3998.1021041292638</v>
      </c>
      <c r="H14" s="99">
        <f t="shared" si="2"/>
        <v>12228.917604308797</v>
      </c>
      <c r="I14" s="98">
        <f t="shared" si="3"/>
        <v>0.6730616532471726</v>
      </c>
      <c r="J14" s="98">
        <f t="shared" si="4"/>
        <v>2.3061653247172575E-2</v>
      </c>
      <c r="K14">
        <f t="shared" si="5"/>
        <v>11291.296415811632</v>
      </c>
      <c r="L14" s="97">
        <f t="shared" si="6"/>
        <v>15289.398519940896</v>
      </c>
      <c r="M14">
        <f t="shared" si="7"/>
        <v>0.73850494518049103</v>
      </c>
      <c r="N14" s="97">
        <f t="shared" si="8"/>
        <v>3060.4809156320989</v>
      </c>
    </row>
    <row r="15" spans="1:14" x14ac:dyDescent="0.35">
      <c r="A15" s="101">
        <v>0.6</v>
      </c>
      <c r="B15" s="101">
        <v>0.7</v>
      </c>
      <c r="C15" s="101">
        <v>0.3</v>
      </c>
      <c r="D15" s="97">
        <f>'2.KROK - rebalansacia'!$E$15*B15</f>
        <v>7996.2042082585276</v>
      </c>
      <c r="E15" s="97">
        <f>'2.KROK - rebalansacia'!$E$15*C15</f>
        <v>3426.9446606822262</v>
      </c>
      <c r="F15" s="100">
        <f t="shared" si="0"/>
        <v>8863.9551540394968</v>
      </c>
      <c r="G15" s="100">
        <f t="shared" si="1"/>
        <v>3426.9446606822262</v>
      </c>
      <c r="H15" s="99">
        <f t="shared" si="2"/>
        <v>12290.899814721723</v>
      </c>
      <c r="I15" s="98">
        <f t="shared" si="3"/>
        <v>0.72118032753163286</v>
      </c>
      <c r="J15" s="98">
        <f t="shared" si="4"/>
        <v>2.1180327531632903E-2</v>
      </c>
      <c r="K15">
        <f t="shared" si="5"/>
        <v>11689.014460776847</v>
      </c>
      <c r="L15" s="97">
        <f t="shared" si="6"/>
        <v>15115.959121459073</v>
      </c>
      <c r="M15">
        <f t="shared" si="7"/>
        <v>0.77328963163063658</v>
      </c>
      <c r="N15" s="97">
        <f t="shared" si="8"/>
        <v>2825.0593067373502</v>
      </c>
    </row>
    <row r="16" spans="1:14" x14ac:dyDescent="0.35">
      <c r="A16" s="101">
        <v>0.7</v>
      </c>
      <c r="B16" s="101">
        <v>0.8</v>
      </c>
      <c r="C16" s="101">
        <v>0.2</v>
      </c>
      <c r="D16" s="97">
        <f>'2.KROK - rebalansacia'!$E$15*B16</f>
        <v>9138.5190951526038</v>
      </c>
      <c r="E16" s="97">
        <f>'2.KROK - rebalansacia'!$E$15*C16</f>
        <v>2284.6297737881509</v>
      </c>
      <c r="F16" s="100">
        <f t="shared" si="0"/>
        <v>10130.234461759424</v>
      </c>
      <c r="G16" s="100">
        <f t="shared" si="1"/>
        <v>2284.6297737881509</v>
      </c>
      <c r="H16" s="99">
        <f t="shared" si="2"/>
        <v>12414.864235547575</v>
      </c>
      <c r="I16" s="98">
        <f t="shared" si="3"/>
        <v>0.81597625794033635</v>
      </c>
      <c r="J16" s="98">
        <f t="shared" si="4"/>
        <v>1.5976257940336303E-2</v>
      </c>
      <c r="K16">
        <f t="shared" si="5"/>
        <v>12282.660600225961</v>
      </c>
      <c r="L16" s="97">
        <f t="shared" si="6"/>
        <v>14567.290374014112</v>
      </c>
      <c r="M16">
        <f t="shared" si="7"/>
        <v>0.84316714260988501</v>
      </c>
      <c r="N16" s="97">
        <f t="shared" si="8"/>
        <v>2152.4261384665369</v>
      </c>
    </row>
    <row r="17" spans="1:14" x14ac:dyDescent="0.35">
      <c r="A17" s="101">
        <v>0.8</v>
      </c>
      <c r="B17" s="101">
        <v>0.9</v>
      </c>
      <c r="C17" s="101">
        <v>0.1</v>
      </c>
      <c r="D17" s="97">
        <f>'2.KROK - rebalansacia'!$E$15*B17</f>
        <v>10280.833982046679</v>
      </c>
      <c r="E17" s="97">
        <f>'2.KROK - rebalansacia'!$E$15*C17</f>
        <v>1142.3148868940755</v>
      </c>
      <c r="F17" s="100">
        <f t="shared" si="0"/>
        <v>11396.513769479352</v>
      </c>
      <c r="G17" s="100">
        <f t="shared" si="1"/>
        <v>1142.3148868940755</v>
      </c>
      <c r="H17" s="99">
        <f t="shared" si="2"/>
        <v>12538.828656373427</v>
      </c>
      <c r="I17" s="98">
        <f t="shared" si="3"/>
        <v>0.90889779913266122</v>
      </c>
      <c r="J17" s="98">
        <f t="shared" si="4"/>
        <v>8.8977991326611994E-3</v>
      </c>
      <c r="K17">
        <f t="shared" si="5"/>
        <v>12607.253472366774</v>
      </c>
      <c r="L17" s="97">
        <f t="shared" si="6"/>
        <v>13749.568359260849</v>
      </c>
      <c r="M17">
        <f t="shared" si="7"/>
        <v>0.91691994562689794</v>
      </c>
      <c r="N17" s="97">
        <f t="shared" si="8"/>
        <v>1210.739702887422</v>
      </c>
    </row>
    <row r="18" spans="1:14" x14ac:dyDescent="0.35">
      <c r="A18" s="101">
        <v>0.9</v>
      </c>
      <c r="B18" s="101">
        <v>0.9</v>
      </c>
      <c r="C18" s="101">
        <v>0.1</v>
      </c>
      <c r="D18" s="97">
        <f>'2.KROK - rebalansacia'!$E$15*B18</f>
        <v>10280.833982046679</v>
      </c>
      <c r="E18" s="97">
        <f>'2.KROK - rebalansacia'!$E$15*C18</f>
        <v>1142.3148868940755</v>
      </c>
      <c r="F18" s="100">
        <f t="shared" si="0"/>
        <v>11396.513769479352</v>
      </c>
      <c r="G18" s="100">
        <f t="shared" si="1"/>
        <v>1142.3148868940755</v>
      </c>
      <c r="H18" s="99">
        <f t="shared" si="2"/>
        <v>12538.828656373427</v>
      </c>
      <c r="I18" s="98">
        <f t="shared" si="3"/>
        <v>0.90889779913266122</v>
      </c>
      <c r="J18" s="98">
        <v>-0.01</v>
      </c>
      <c r="K18">
        <f t="shared" si="5"/>
        <v>10035.795590932083</v>
      </c>
      <c r="L18" s="97">
        <f t="shared" si="6"/>
        <v>11178.110477826158</v>
      </c>
      <c r="M18">
        <f t="shared" si="7"/>
        <v>0.89780787288155117</v>
      </c>
      <c r="N18" s="97">
        <f t="shared" si="8"/>
        <v>-1360.7181785472694</v>
      </c>
    </row>
  </sheetData>
  <sheetProtection algorithmName="SHA-512" hashValue="U4Ph8YbnpdQfKXmMC58pknE3k+l24986js9fg/ZKjXORVdwGdCjqo6S3xecn9xru4AyEb7tlsZioYm79huaAqA==" saltValue="GpZeOb/sZxJetNf//4gU3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C8A38A62AE294780B37BCFE70A5ECA" ma:contentTypeVersion="13" ma:contentTypeDescription="Umožňuje vytvoriť nový dokument." ma:contentTypeScope="" ma:versionID="4867b2f4e57dd3fa0fb48d00d67bce29">
  <xsd:schema xmlns:xsd="http://www.w3.org/2001/XMLSchema" xmlns:xs="http://www.w3.org/2001/XMLSchema" xmlns:p="http://schemas.microsoft.com/office/2006/metadata/properties" xmlns:ns3="69c34a5a-8c47-4d54-9073-909d429a6af5" xmlns:ns4="4e0463ba-dcfb-495f-ad67-1e97dcb84722" targetNamespace="http://schemas.microsoft.com/office/2006/metadata/properties" ma:root="true" ma:fieldsID="66ea2bc5a77be1e86355483f38da658e" ns3:_="" ns4:_="">
    <xsd:import namespace="69c34a5a-8c47-4d54-9073-909d429a6af5"/>
    <xsd:import namespace="4e0463ba-dcfb-495f-ad67-1e97dcb847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34a5a-8c47-4d54-9073-909d429a6a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Príkaz hash indikátora zdieľania" ma:internalName="SharingHintHash" ma:readOnly="true">
      <xsd:simpleType>
        <xsd:restriction base="dms:Text"/>
      </xsd:simpleType>
    </xsd:element>
    <xsd:element name="SharedWithDetails" ma:index="10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463ba-dcfb-495f-ad67-1e97dcb847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B87CBB-EB1E-49DC-BB67-B5C9397A46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0F0EE6-4C6F-4F2B-BE1A-D367AD0F6F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FDD40-5E83-48E6-AE47-34CC534C2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c34a5a-8c47-4d54-9073-909d429a6af5"/>
    <ds:schemaRef ds:uri="4e0463ba-dcfb-495f-ad67-1e97dcb847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Info</vt:lpstr>
      <vt:lpstr>1.KROK - vstupné údaje</vt:lpstr>
      <vt:lpstr>2.KROK - rebalansacia</vt:lpstr>
      <vt:lpstr>#akcie</vt:lpstr>
      <vt:lpstr>#dlhopisy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Moravčík</dc:creator>
  <cp:lastModifiedBy>martin moravcik</cp:lastModifiedBy>
  <dcterms:created xsi:type="dcterms:W3CDTF">2020-03-31T10:16:39Z</dcterms:created>
  <dcterms:modified xsi:type="dcterms:W3CDTF">2020-04-01T11:58:23Z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0x0101004FC8A38A62AE294780B37BCFE70A5ECA</vt:lpwstr>
  </property>
</Properties>
</file>